
<file path=[Content_Types].xml><?xml version="1.0" encoding="utf-8"?>
<Types xmlns="http://schemas.openxmlformats.org/package/2006/content-types">
  <Default Extension="bin" ContentType="application/vnd.openxmlformats-officedocument.spreadsheetml.customProperty"/>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Finance\1 GAD\04 Annual Accounts\Year end and interim 2025\Quarters\Q1\"/>
    </mc:Choice>
  </mc:AlternateContent>
  <xr:revisionPtr revIDLastSave="0" documentId="13_ncr:1_{7607DA79-77BE-47D8-854C-CBE1C03F3DE2}" xr6:coauthVersionLast="47" xr6:coauthVersionMax="47" xr10:uidLastSave="{00000000-0000-0000-0000-000000000000}"/>
  <bookViews>
    <workbookView xWindow="28680" yWindow="-120" windowWidth="29040" windowHeight="17520" firstSheet="1" activeTab="1" xr2:uid="{897F3A65-1D1B-4C1F-A442-15F44E9F8D0B}"/>
  </bookViews>
  <sheets>
    <sheet name="Parameters" sheetId="5" state="hidden" r:id="rId1"/>
    <sheet name="Information" sheetId="9" r:id="rId2"/>
    <sheet name="1. Statement of income" sheetId="2" r:id="rId3"/>
    <sheet name="2. Financial position" sheetId="1" r:id="rId4"/>
    <sheet name="3. Cash Flows" sheetId="6" r:id="rId5"/>
    <sheet name="4. Operating segments" sheetId="8" r:id="rId6"/>
    <sheet name="5. IFRS 15" sheetId="10" r:id="rId7"/>
    <sheet name="Manual" sheetId="7" state="hidden" r:id="rId8"/>
  </sheets>
  <definedNames>
    <definedName name="check" hidden="1">{"Valuation",#N/A,TRUE,"Valuation Summary";"Financial Statements",#N/A,TRUE,"Results";"Results",#N/A,TRUE,"Results";"Ratios",#N/A,TRUE,"Results";"P2 Summary",#N/A,TRUE,"Results";"Historical data",#N/A,TRUE,"Historical Data";"P1 Inputs",#N/A,TRUE,"Forecast Drivers";"P2 Inputs",#N/A,TRUE,"Forecast Drivers"}</definedName>
    <definedName name="CIQWBGuid" hidden="1">"6a4dba73-682a-4d66-a066-18b20b8bed21"</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43658.460775463</definedName>
    <definedName name="IQ_QTD" hidden="1">750000</definedName>
    <definedName name="IQ_TODAY" hidden="1">0</definedName>
    <definedName name="IQ_YTDMONTH" hidden="1">130000</definedName>
    <definedName name="NEw"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6" i="10" l="1"/>
  <c r="C16" i="8" l="1"/>
  <c r="N45" i="8" l="1"/>
  <c r="N21" i="2"/>
  <c r="N8" i="2"/>
  <c r="N16" i="8"/>
  <c r="M16" i="8"/>
  <c r="L16" i="8"/>
  <c r="K16" i="8"/>
  <c r="J16" i="8"/>
  <c r="I16" i="8"/>
  <c r="H16" i="8"/>
  <c r="G16" i="8"/>
  <c r="F16" i="8"/>
  <c r="E16" i="8"/>
  <c r="D16" i="8"/>
  <c r="B16" i="8"/>
  <c r="C26" i="8"/>
  <c r="D26" i="8"/>
  <c r="E26" i="8"/>
  <c r="F26" i="8"/>
  <c r="G26" i="8"/>
  <c r="H26" i="8"/>
  <c r="I26" i="8"/>
  <c r="J26" i="8"/>
  <c r="K26" i="8"/>
  <c r="L26" i="8"/>
  <c r="M26" i="8"/>
  <c r="N26" i="8"/>
  <c r="B26" i="8"/>
  <c r="C45" i="8"/>
  <c r="D45" i="8"/>
  <c r="E45" i="8"/>
  <c r="F45" i="8"/>
  <c r="G45" i="8"/>
  <c r="H45" i="8"/>
  <c r="I45" i="8"/>
  <c r="J45" i="8"/>
  <c r="K45" i="8"/>
  <c r="L45" i="8"/>
  <c r="M45" i="8"/>
  <c r="O45" i="8"/>
  <c r="P45" i="8"/>
  <c r="Q45" i="8"/>
  <c r="B45" i="8"/>
  <c r="O25" i="8"/>
  <c r="P25" i="8"/>
  <c r="Q25" i="8"/>
  <c r="O36" i="6"/>
  <c r="O59" i="6" s="1"/>
  <c r="R61" i="6"/>
  <c r="Q61" i="6"/>
  <c r="P61" i="6"/>
  <c r="R56" i="6"/>
  <c r="Q56" i="6"/>
  <c r="P56" i="6"/>
  <c r="R46" i="6"/>
  <c r="R60" i="6"/>
  <c r="Q46" i="6"/>
  <c r="Q60" i="6"/>
  <c r="P46" i="6"/>
  <c r="P60" i="6"/>
  <c r="O46" i="6"/>
  <c r="O60" i="6" s="1"/>
  <c r="R36" i="6"/>
  <c r="R59" i="6"/>
  <c r="Q36" i="6"/>
  <c r="Q59" i="6"/>
  <c r="P36" i="6"/>
  <c r="P59" i="6"/>
  <c r="R9" i="6"/>
  <c r="R14" i="6"/>
  <c r="Q9" i="6"/>
  <c r="Q14" i="6"/>
  <c r="P9" i="6"/>
  <c r="P14" i="6"/>
  <c r="O9" i="6"/>
  <c r="O56" i="6" s="1"/>
  <c r="P55" i="1"/>
  <c r="R52" i="1"/>
  <c r="Q52" i="1"/>
  <c r="P52" i="1"/>
  <c r="R51" i="1"/>
  <c r="P51" i="1"/>
  <c r="R42" i="1"/>
  <c r="R57" i="1"/>
  <c r="Q42" i="1"/>
  <c r="Q57" i="1"/>
  <c r="P42" i="1"/>
  <c r="P57" i="1"/>
  <c r="O42" i="1"/>
  <c r="R33" i="1"/>
  <c r="R56" i="1"/>
  <c r="Q33" i="1"/>
  <c r="Q56" i="1"/>
  <c r="P33" i="1"/>
  <c r="P56" i="1"/>
  <c r="O33" i="1"/>
  <c r="O56" i="1"/>
  <c r="R25" i="1"/>
  <c r="R55" i="1"/>
  <c r="Q25" i="1"/>
  <c r="Q55" i="1"/>
  <c r="P25" i="1"/>
  <c r="O25" i="1"/>
  <c r="O55" i="1"/>
  <c r="R19" i="1"/>
  <c r="Q19" i="1"/>
  <c r="P19" i="1"/>
  <c r="O19" i="1"/>
  <c r="O52" i="1"/>
  <c r="R13" i="1"/>
  <c r="R21" i="1"/>
  <c r="R50" i="1"/>
  <c r="Q13" i="1"/>
  <c r="Q21" i="1"/>
  <c r="Q50" i="1"/>
  <c r="P13" i="1"/>
  <c r="P21" i="1"/>
  <c r="P50" i="1"/>
  <c r="O13" i="1"/>
  <c r="Q21" i="2"/>
  <c r="Q48" i="2"/>
  <c r="P21" i="2"/>
  <c r="P48" i="2"/>
  <c r="O21" i="2"/>
  <c r="O48" i="2"/>
  <c r="N48" i="2"/>
  <c r="Q8" i="2"/>
  <c r="Q15" i="2"/>
  <c r="P8" i="2"/>
  <c r="P46" i="2"/>
  <c r="O8" i="2"/>
  <c r="O46" i="2"/>
  <c r="N46" i="2"/>
  <c r="Q26" i="10"/>
  <c r="P26" i="10"/>
  <c r="O26" i="10"/>
  <c r="N26" i="10"/>
  <c r="M26" i="10"/>
  <c r="L26" i="10"/>
  <c r="K26" i="10"/>
  <c r="J26" i="10"/>
  <c r="I26" i="10"/>
  <c r="H26" i="10"/>
  <c r="G26" i="10"/>
  <c r="F26" i="10"/>
  <c r="E26" i="10"/>
  <c r="D26" i="10"/>
  <c r="C26" i="10"/>
  <c r="B26" i="10"/>
  <c r="O21" i="1"/>
  <c r="O50" i="1"/>
  <c r="O51" i="1"/>
  <c r="Q28" i="6"/>
  <c r="Q57" i="6"/>
  <c r="P28" i="6"/>
  <c r="P57" i="6"/>
  <c r="R57" i="6"/>
  <c r="R28" i="6"/>
  <c r="Q51" i="1"/>
  <c r="O57" i="1"/>
  <c r="O44" i="1"/>
  <c r="P44" i="1"/>
  <c r="Q44" i="1"/>
  <c r="R44" i="1"/>
  <c r="N15" i="2"/>
  <c r="N24" i="2"/>
  <c r="N27" i="2"/>
  <c r="O15" i="2"/>
  <c r="O24" i="2"/>
  <c r="O27" i="2"/>
  <c r="P15" i="2"/>
  <c r="P24" i="2"/>
  <c r="P27" i="2"/>
  <c r="Q24" i="2"/>
  <c r="Q47" i="2"/>
  <c r="Q46" i="2"/>
  <c r="N47" i="2"/>
  <c r="R62" i="6"/>
  <c r="R58" i="6"/>
  <c r="P58" i="6"/>
  <c r="P62" i="6"/>
  <c r="Q62" i="6"/>
  <c r="Q58" i="6"/>
  <c r="O48" i="1"/>
  <c r="O54" i="1"/>
  <c r="R48" i="1"/>
  <c r="R54" i="1"/>
  <c r="Q48" i="1"/>
  <c r="Q54" i="1"/>
  <c r="P48" i="1"/>
  <c r="P54" i="1"/>
  <c r="P47" i="2"/>
  <c r="O47" i="2"/>
  <c r="P49" i="2"/>
  <c r="O49" i="2"/>
  <c r="N49" i="2"/>
  <c r="P30" i="2"/>
  <c r="P51" i="2"/>
  <c r="P50" i="2"/>
  <c r="O30" i="2"/>
  <c r="O51" i="2"/>
  <c r="O50" i="2"/>
  <c r="N30" i="2"/>
  <c r="N51" i="2"/>
  <c r="N50" i="2"/>
  <c r="Q27" i="2"/>
  <c r="Q49" i="2"/>
  <c r="O61" i="6"/>
  <c r="Q30" i="2"/>
  <c r="Q51" i="2"/>
  <c r="Q50" i="2"/>
  <c r="N33" i="1"/>
  <c r="M21" i="2"/>
  <c r="M8" i="2"/>
  <c r="M15" i="2"/>
  <c r="M24" i="2"/>
  <c r="M27" i="2"/>
  <c r="M30" i="2"/>
  <c r="N61" i="6"/>
  <c r="M61" i="6"/>
  <c r="L61" i="6"/>
  <c r="F61" i="6"/>
  <c r="E61" i="6"/>
  <c r="C61" i="6"/>
  <c r="U51" i="2"/>
  <c r="U50" i="2"/>
  <c r="U49" i="2"/>
  <c r="U48" i="2"/>
  <c r="U47" i="2"/>
  <c r="U46" i="2"/>
  <c r="M51" i="2"/>
  <c r="M50" i="2"/>
  <c r="M49" i="2"/>
  <c r="M48" i="2"/>
  <c r="M47" i="2"/>
  <c r="M46" i="2"/>
  <c r="M46" i="6"/>
  <c r="M60" i="6"/>
  <c r="M37" i="1"/>
  <c r="L37" i="1"/>
  <c r="K37" i="1"/>
  <c r="J37" i="1"/>
  <c r="I37" i="1"/>
  <c r="H37" i="1"/>
  <c r="G37" i="1"/>
  <c r="F37" i="1"/>
  <c r="E37" i="1"/>
  <c r="D37" i="1"/>
  <c r="C37" i="1"/>
  <c r="V21" i="2"/>
  <c r="T21" i="2"/>
  <c r="L21" i="2"/>
  <c r="L48" i="2"/>
  <c r="K21" i="2"/>
  <c r="K48" i="2"/>
  <c r="J21" i="2"/>
  <c r="J48" i="2"/>
  <c r="H21" i="2"/>
  <c r="H48" i="2"/>
  <c r="G21" i="2"/>
  <c r="G48" i="2"/>
  <c r="F48" i="2"/>
  <c r="E21" i="2"/>
  <c r="E48" i="2"/>
  <c r="D21" i="2"/>
  <c r="D48" i="2"/>
  <c r="C21" i="2"/>
  <c r="C48" i="2"/>
  <c r="B21" i="2"/>
  <c r="B48" i="2"/>
  <c r="T48" i="2"/>
  <c r="I21" i="2"/>
  <c r="I48" i="2"/>
  <c r="L8" i="2"/>
  <c r="L15" i="2"/>
  <c r="L47" i="2"/>
  <c r="L46" i="2"/>
  <c r="L24" i="2"/>
  <c r="L49" i="2"/>
  <c r="L46" i="6"/>
  <c r="L60" i="6"/>
  <c r="L27" i="2"/>
  <c r="L30" i="2"/>
  <c r="L51" i="2"/>
  <c r="L50" i="2"/>
  <c r="K8" i="2"/>
  <c r="K15" i="2"/>
  <c r="K47" i="2"/>
  <c r="K46" i="2"/>
  <c r="K24" i="2"/>
  <c r="K49" i="2"/>
  <c r="K27" i="2"/>
  <c r="N46" i="6"/>
  <c r="K46" i="6"/>
  <c r="K60" i="6"/>
  <c r="N36" i="6"/>
  <c r="N59" i="6"/>
  <c r="M36" i="6"/>
  <c r="L36" i="6"/>
  <c r="K36" i="6"/>
  <c r="K59" i="6"/>
  <c r="N9" i="6"/>
  <c r="M9" i="6"/>
  <c r="L9" i="6"/>
  <c r="K9" i="6"/>
  <c r="N42" i="1"/>
  <c r="N57" i="1"/>
  <c r="M42" i="1"/>
  <c r="M57" i="1"/>
  <c r="L42" i="1"/>
  <c r="L57" i="1"/>
  <c r="K42" i="1"/>
  <c r="K57" i="1"/>
  <c r="N56" i="1"/>
  <c r="M33" i="1"/>
  <c r="M56" i="1"/>
  <c r="L33" i="1"/>
  <c r="L56" i="1"/>
  <c r="K33" i="1"/>
  <c r="K56" i="1"/>
  <c r="N25" i="1"/>
  <c r="N55" i="1"/>
  <c r="M25" i="1"/>
  <c r="M55" i="1"/>
  <c r="L25" i="1"/>
  <c r="L55" i="1"/>
  <c r="K25" i="1"/>
  <c r="K55" i="1"/>
  <c r="N19" i="1"/>
  <c r="N52" i="1"/>
  <c r="M19" i="1"/>
  <c r="M52" i="1"/>
  <c r="L19" i="1"/>
  <c r="L52" i="1"/>
  <c r="K19" i="1"/>
  <c r="K52" i="1"/>
  <c r="N13" i="1"/>
  <c r="N51" i="1"/>
  <c r="M13" i="1"/>
  <c r="M51" i="1"/>
  <c r="L13" i="1"/>
  <c r="L51" i="1"/>
  <c r="K13" i="1"/>
  <c r="K51" i="1"/>
  <c r="K30" i="2"/>
  <c r="K51" i="2"/>
  <c r="K50" i="2"/>
  <c r="M59" i="6"/>
  <c r="K14" i="6"/>
  <c r="K56" i="6"/>
  <c r="L14" i="6"/>
  <c r="L56" i="6"/>
  <c r="M14" i="6"/>
  <c r="M56" i="6"/>
  <c r="L59" i="6"/>
  <c r="N14" i="6"/>
  <c r="N56" i="6"/>
  <c r="N60" i="6"/>
  <c r="K21" i="1"/>
  <c r="K50" i="1"/>
  <c r="M44" i="1"/>
  <c r="M21" i="1"/>
  <c r="M50" i="1"/>
  <c r="L44" i="1"/>
  <c r="L21" i="1"/>
  <c r="L50" i="1"/>
  <c r="K44" i="1"/>
  <c r="N44" i="1"/>
  <c r="N21" i="1"/>
  <c r="N50" i="1"/>
  <c r="M28" i="6"/>
  <c r="M57" i="6"/>
  <c r="K28" i="6"/>
  <c r="K57" i="6"/>
  <c r="L28" i="6"/>
  <c r="L57" i="6"/>
  <c r="N28" i="6"/>
  <c r="N57" i="6"/>
  <c r="K48" i="1"/>
  <c r="K54" i="1"/>
  <c r="M48" i="1"/>
  <c r="M54" i="1"/>
  <c r="N48" i="1"/>
  <c r="N54" i="1"/>
  <c r="L48" i="1"/>
  <c r="L54" i="1"/>
  <c r="J8" i="2"/>
  <c r="J15" i="2"/>
  <c r="J46" i="2"/>
  <c r="L58" i="6"/>
  <c r="L62" i="6"/>
  <c r="K58" i="6"/>
  <c r="K49" i="6"/>
  <c r="M58" i="6"/>
  <c r="M62" i="6"/>
  <c r="N58" i="6"/>
  <c r="N62" i="6"/>
  <c r="J24" i="2"/>
  <c r="J47" i="2"/>
  <c r="K61" i="6"/>
  <c r="K62" i="6"/>
  <c r="J42" i="1"/>
  <c r="J57" i="1"/>
  <c r="J33" i="1"/>
  <c r="J56" i="1"/>
  <c r="J25" i="1"/>
  <c r="J55" i="1"/>
  <c r="J19" i="1"/>
  <c r="J52" i="1"/>
  <c r="J13" i="1"/>
  <c r="I8" i="2"/>
  <c r="I15" i="2"/>
  <c r="I47" i="2"/>
  <c r="I46" i="2"/>
  <c r="J27" i="2"/>
  <c r="J49" i="2"/>
  <c r="J21" i="1"/>
  <c r="J50" i="1"/>
  <c r="J51" i="1"/>
  <c r="J44" i="1"/>
  <c r="F33" i="1"/>
  <c r="F56" i="1"/>
  <c r="I42" i="1"/>
  <c r="I57" i="1"/>
  <c r="H42" i="1"/>
  <c r="H57" i="1"/>
  <c r="G42" i="1"/>
  <c r="G57" i="1"/>
  <c r="F42" i="1"/>
  <c r="F57" i="1"/>
  <c r="E42" i="1"/>
  <c r="E57" i="1"/>
  <c r="D42" i="1"/>
  <c r="D57" i="1"/>
  <c r="I33" i="1"/>
  <c r="I56" i="1"/>
  <c r="H33" i="1"/>
  <c r="H56" i="1"/>
  <c r="G33" i="1"/>
  <c r="G56" i="1"/>
  <c r="E33" i="1"/>
  <c r="E56" i="1"/>
  <c r="D33" i="1"/>
  <c r="D56" i="1"/>
  <c r="I25" i="1"/>
  <c r="I55" i="1"/>
  <c r="H25" i="1"/>
  <c r="G25" i="1"/>
  <c r="G55" i="1"/>
  <c r="F25" i="1"/>
  <c r="F55" i="1"/>
  <c r="E25" i="1"/>
  <c r="E55" i="1"/>
  <c r="D25" i="1"/>
  <c r="D55" i="1"/>
  <c r="I19" i="1"/>
  <c r="I52" i="1"/>
  <c r="H19" i="1"/>
  <c r="H52" i="1"/>
  <c r="G19" i="1"/>
  <c r="G52" i="1"/>
  <c r="F19" i="1"/>
  <c r="F52" i="1"/>
  <c r="E19" i="1"/>
  <c r="D19" i="1"/>
  <c r="D52" i="1"/>
  <c r="C42" i="1"/>
  <c r="C57" i="1"/>
  <c r="C33" i="1"/>
  <c r="C56" i="1"/>
  <c r="C25" i="1"/>
  <c r="C55" i="1"/>
  <c r="C19" i="1"/>
  <c r="C52" i="1"/>
  <c r="I13" i="1"/>
  <c r="I51" i="1"/>
  <c r="H13" i="1"/>
  <c r="H51" i="1"/>
  <c r="G13" i="1"/>
  <c r="G51" i="1"/>
  <c r="F13" i="1"/>
  <c r="F51" i="1"/>
  <c r="E13" i="1"/>
  <c r="E51" i="1"/>
  <c r="D13" i="1"/>
  <c r="D51" i="1"/>
  <c r="C13" i="1"/>
  <c r="C51" i="1"/>
  <c r="V8" i="2"/>
  <c r="V15" i="2"/>
  <c r="T8" i="2"/>
  <c r="H8" i="2"/>
  <c r="G8" i="2"/>
  <c r="E8" i="2"/>
  <c r="D8" i="2"/>
  <c r="B8" i="2"/>
  <c r="C8" i="2"/>
  <c r="I45" i="6"/>
  <c r="J40" i="6"/>
  <c r="J46" i="6"/>
  <c r="J60" i="6"/>
  <c r="I41" i="6"/>
  <c r="H40" i="6"/>
  <c r="H46" i="6"/>
  <c r="H60" i="6"/>
  <c r="I40" i="6"/>
  <c r="G40" i="6"/>
  <c r="G46" i="6"/>
  <c r="G60" i="6"/>
  <c r="F46" i="6"/>
  <c r="E40" i="6"/>
  <c r="E46" i="6"/>
  <c r="D40" i="6"/>
  <c r="D46" i="6"/>
  <c r="C40" i="6"/>
  <c r="C46" i="6"/>
  <c r="D9" i="6"/>
  <c r="D56" i="6"/>
  <c r="F9" i="6"/>
  <c r="F56" i="6"/>
  <c r="H9" i="6"/>
  <c r="H56" i="6"/>
  <c r="C9" i="6"/>
  <c r="C56" i="6"/>
  <c r="G9" i="6"/>
  <c r="G56" i="6"/>
  <c r="I9" i="6"/>
  <c r="J9" i="6"/>
  <c r="E9" i="6"/>
  <c r="E56" i="6"/>
  <c r="F36" i="6"/>
  <c r="F59" i="6"/>
  <c r="D36" i="6"/>
  <c r="D59" i="6"/>
  <c r="H36" i="6"/>
  <c r="H59" i="6"/>
  <c r="C36" i="6"/>
  <c r="C59" i="6"/>
  <c r="G36" i="6"/>
  <c r="G59" i="6"/>
  <c r="I36" i="6"/>
  <c r="I59" i="6"/>
  <c r="J36" i="6"/>
  <c r="J59" i="6"/>
  <c r="E36" i="6"/>
  <c r="E59" i="6"/>
  <c r="G15" i="2"/>
  <c r="G47" i="2"/>
  <c r="G46" i="2"/>
  <c r="D15" i="2"/>
  <c r="D47" i="2"/>
  <c r="D46" i="2"/>
  <c r="C15" i="2"/>
  <c r="C47" i="2"/>
  <c r="C46" i="2"/>
  <c r="I24" i="2"/>
  <c r="I49" i="2"/>
  <c r="B15" i="2"/>
  <c r="B46" i="2"/>
  <c r="E15" i="2"/>
  <c r="E47" i="2"/>
  <c r="E46" i="2"/>
  <c r="F47" i="2"/>
  <c r="F46" i="2"/>
  <c r="J50" i="2"/>
  <c r="J30" i="2"/>
  <c r="J51" i="2"/>
  <c r="H15" i="2"/>
  <c r="H47" i="2"/>
  <c r="H46" i="2"/>
  <c r="F14" i="6"/>
  <c r="F57" i="6"/>
  <c r="C14" i="6"/>
  <c r="D14" i="6"/>
  <c r="E14" i="6"/>
  <c r="G14" i="6"/>
  <c r="F28" i="6"/>
  <c r="F58" i="6"/>
  <c r="J14" i="6"/>
  <c r="J56" i="6"/>
  <c r="H14" i="6"/>
  <c r="I14" i="6"/>
  <c r="I56" i="6"/>
  <c r="I46" i="6"/>
  <c r="I60" i="6"/>
  <c r="T15" i="2"/>
  <c r="T24" i="2"/>
  <c r="T46" i="2"/>
  <c r="E60" i="6"/>
  <c r="D60" i="6"/>
  <c r="F60" i="6"/>
  <c r="C60" i="6"/>
  <c r="E21" i="1"/>
  <c r="E50" i="1"/>
  <c r="E52" i="1"/>
  <c r="J48" i="1"/>
  <c r="J54" i="1"/>
  <c r="H44" i="1"/>
  <c r="H55" i="1"/>
  <c r="I44" i="1"/>
  <c r="G44" i="1"/>
  <c r="C21" i="1"/>
  <c r="C50" i="1"/>
  <c r="F21" i="1"/>
  <c r="F50" i="1"/>
  <c r="D21" i="1"/>
  <c r="D50" i="1"/>
  <c r="D44" i="1"/>
  <c r="F44" i="1"/>
  <c r="E44" i="1"/>
  <c r="C44" i="1"/>
  <c r="H21" i="1"/>
  <c r="H50" i="1"/>
  <c r="G21" i="1"/>
  <c r="G50" i="1"/>
  <c r="I21" i="1"/>
  <c r="I50" i="1"/>
  <c r="I27" i="2"/>
  <c r="V24" i="2"/>
  <c r="E24" i="2"/>
  <c r="H24" i="2"/>
  <c r="H49" i="2"/>
  <c r="F49" i="2"/>
  <c r="G24" i="2"/>
  <c r="G49" i="2"/>
  <c r="D24" i="2"/>
  <c r="D49" i="2"/>
  <c r="C24" i="2"/>
  <c r="C49" i="2"/>
  <c r="E27" i="2"/>
  <c r="E49" i="2"/>
  <c r="C27" i="2"/>
  <c r="B24" i="2"/>
  <c r="B47" i="2"/>
  <c r="C57" i="6"/>
  <c r="C28" i="6"/>
  <c r="D57" i="6"/>
  <c r="D28" i="6"/>
  <c r="F62" i="6"/>
  <c r="E57" i="6"/>
  <c r="E28" i="6"/>
  <c r="H57" i="6"/>
  <c r="H28" i="6"/>
  <c r="J28" i="6"/>
  <c r="J57" i="6"/>
  <c r="I28" i="6"/>
  <c r="I57" i="6"/>
  <c r="G28" i="6"/>
  <c r="G57" i="6"/>
  <c r="T49" i="2"/>
  <c r="T47" i="2"/>
  <c r="I30" i="2"/>
  <c r="I51" i="2"/>
  <c r="I50" i="2"/>
  <c r="E48" i="1"/>
  <c r="E54" i="1"/>
  <c r="D48" i="1"/>
  <c r="D54" i="1"/>
  <c r="H48" i="1"/>
  <c r="H54" i="1"/>
  <c r="C48" i="1"/>
  <c r="C54" i="1"/>
  <c r="F48" i="1"/>
  <c r="F54" i="1"/>
  <c r="I48" i="1"/>
  <c r="I54" i="1"/>
  <c r="G48" i="1"/>
  <c r="G54" i="1"/>
  <c r="D27" i="2"/>
  <c r="T27" i="2"/>
  <c r="V27" i="2"/>
  <c r="V30" i="2"/>
  <c r="H27" i="2"/>
  <c r="G27" i="2"/>
  <c r="H30" i="2"/>
  <c r="H51" i="2"/>
  <c r="H50" i="2"/>
  <c r="D30" i="2"/>
  <c r="D51" i="2"/>
  <c r="D50" i="2"/>
  <c r="B27" i="2"/>
  <c r="B50" i="2"/>
  <c r="B49" i="2"/>
  <c r="C30" i="2"/>
  <c r="C51" i="2"/>
  <c r="C50" i="2"/>
  <c r="G30" i="2"/>
  <c r="G51" i="2"/>
  <c r="G50" i="2"/>
  <c r="E30" i="2"/>
  <c r="E51" i="2"/>
  <c r="E50" i="2"/>
  <c r="C58" i="6"/>
  <c r="C62" i="6"/>
  <c r="D58" i="6"/>
  <c r="D49" i="6"/>
  <c r="E58" i="6"/>
  <c r="E62" i="6"/>
  <c r="G58" i="6"/>
  <c r="G49" i="6"/>
  <c r="H58" i="6"/>
  <c r="H49" i="6"/>
  <c r="I58" i="6"/>
  <c r="I49" i="6"/>
  <c r="J58" i="6"/>
  <c r="J49" i="6"/>
  <c r="T30" i="2"/>
  <c r="T50" i="2"/>
  <c r="F51" i="2"/>
  <c r="F50" i="2"/>
  <c r="B30" i="2"/>
  <c r="B51" i="2"/>
  <c r="D62" i="6"/>
  <c r="D61" i="6"/>
  <c r="J62" i="6"/>
  <c r="J61" i="6"/>
  <c r="I62" i="6"/>
  <c r="I61" i="6"/>
  <c r="H61" i="6"/>
  <c r="H62" i="6"/>
  <c r="G62" i="6"/>
  <c r="G61" i="6"/>
  <c r="T51" i="2"/>
  <c r="O14" i="6" l="1"/>
  <c r="O57" i="6" l="1"/>
  <c r="O28" i="6"/>
  <c r="O58" i="6" l="1"/>
  <c r="O62" i="6"/>
</calcChain>
</file>

<file path=xl/sharedStrings.xml><?xml version="1.0" encoding="utf-8"?>
<sst xmlns="http://schemas.openxmlformats.org/spreadsheetml/2006/main" count="317" uniqueCount="206">
  <si>
    <t>Application:</t>
  </si>
  <si>
    <t>HFM11PROD_ELOPAKHFM3</t>
  </si>
  <si>
    <t>Value:</t>
  </si>
  <si>
    <t>&lt;Entity Curr Total&gt;</t>
  </si>
  <si>
    <t>ICP:</t>
  </si>
  <si>
    <t>[ICP Top]</t>
  </si>
  <si>
    <t>Scenario:</t>
  </si>
  <si>
    <t>Actual</t>
  </si>
  <si>
    <t>Year:</t>
  </si>
  <si>
    <t>View:</t>
  </si>
  <si>
    <t>YTD</t>
  </si>
  <si>
    <t>Entity:</t>
  </si>
  <si>
    <t>ALLORGEUR.LEG_EUR</t>
  </si>
  <si>
    <t>OPE_EUR.VC_EUROPE_TOTAL</t>
  </si>
  <si>
    <t>OPE_EUR.AME_EUR</t>
  </si>
  <si>
    <t>OPE_EUR</t>
  </si>
  <si>
    <t>Account:</t>
  </si>
  <si>
    <t>Custom1:</t>
  </si>
  <si>
    <t>AllCustom1</t>
  </si>
  <si>
    <t>[none]</t>
  </si>
  <si>
    <t>Custom2:</t>
  </si>
  <si>
    <t>AllCustom2</t>
  </si>
  <si>
    <t>Custom3:</t>
  </si>
  <si>
    <t>AllCustom3</t>
  </si>
  <si>
    <t>Custom4:</t>
  </si>
  <si>
    <t>AllCustom4</t>
  </si>
  <si>
    <t>Period:</t>
  </si>
  <si>
    <t>Sep</t>
  </si>
  <si>
    <t>Quarter 1</t>
  </si>
  <si>
    <t>Quarter 2</t>
  </si>
  <si>
    <t>Quarter 3</t>
  </si>
  <si>
    <t>Quarter 4</t>
  </si>
  <si>
    <t>ELOPAK GROUP</t>
  </si>
  <si>
    <t>Year to Date</t>
  </si>
  <si>
    <t>Full year</t>
  </si>
  <si>
    <t>Revenues</t>
  </si>
  <si>
    <t xml:space="preserve">Other operating income </t>
  </si>
  <si>
    <t>Cost of materials</t>
  </si>
  <si>
    <t>Payroll expenses</t>
  </si>
  <si>
    <t xml:space="preserve">Other operating expenses </t>
  </si>
  <si>
    <t>Impairment of non-current assets</t>
  </si>
  <si>
    <t>Operating profit</t>
  </si>
  <si>
    <t>Share of net income from joint ventures</t>
  </si>
  <si>
    <t>Financial income</t>
  </si>
  <si>
    <t>Financial expenses</t>
  </si>
  <si>
    <t>Foreign exchange gain/loss</t>
  </si>
  <si>
    <t>Income tax</t>
  </si>
  <si>
    <t>Discontinued operations Russia</t>
  </si>
  <si>
    <t>Elopak shareholders</t>
  </si>
  <si>
    <t>Non-controlling interests</t>
  </si>
  <si>
    <t>Earnings per share ( EUR)</t>
  </si>
  <si>
    <t>Basic and diluted earnings per share from continuing operations</t>
  </si>
  <si>
    <t>Basic and diluted earnings per share from discontinued operations</t>
  </si>
  <si>
    <t>Basic and diluted earnings per share attributable to Elopak shareholders</t>
  </si>
  <si>
    <t xml:space="preserve"> Adjusted EBITDA</t>
  </si>
  <si>
    <t>Leverage ratio</t>
  </si>
  <si>
    <t>31.03</t>
  </si>
  <si>
    <t>30.06</t>
  </si>
  <si>
    <t>30.09</t>
  </si>
  <si>
    <t>31.12</t>
  </si>
  <si>
    <t>Development cost and other intangible assets</t>
  </si>
  <si>
    <t>Deferred tax assets</t>
  </si>
  <si>
    <t>Goodwill</t>
  </si>
  <si>
    <t>Property, plant and equipment</t>
  </si>
  <si>
    <t>Right-of-use assets</t>
  </si>
  <si>
    <t xml:space="preserve">Investment in joint ventures </t>
  </si>
  <si>
    <t>Other non-current assets</t>
  </si>
  <si>
    <t>Total non - current assets</t>
  </si>
  <si>
    <t>Inventory</t>
  </si>
  <si>
    <t>Trade receivables</t>
  </si>
  <si>
    <t>Other current assets</t>
  </si>
  <si>
    <t>Cash and cash equivalents</t>
  </si>
  <si>
    <t>Total current assets</t>
  </si>
  <si>
    <t>Total assets</t>
  </si>
  <si>
    <t>Attributable to Elopak shareholders</t>
  </si>
  <si>
    <t>Non-controlling interest</t>
  </si>
  <si>
    <t>Total equity</t>
  </si>
  <si>
    <t>Pension liabilities</t>
  </si>
  <si>
    <t>Deferred taxes</t>
  </si>
  <si>
    <t>Non-current lease liabilities</t>
  </si>
  <si>
    <t>Other non-current liabilities</t>
  </si>
  <si>
    <t>Total non-current liabilities</t>
  </si>
  <si>
    <t>Trade payables</t>
  </si>
  <si>
    <t>Taxes payable</t>
  </si>
  <si>
    <t>Public duties payable</t>
  </si>
  <si>
    <t>Current lease liabilities</t>
  </si>
  <si>
    <t>Other current liabilities</t>
  </si>
  <si>
    <t>Total current liabilities</t>
  </si>
  <si>
    <t>Total equity and liabilities</t>
  </si>
  <si>
    <t>Profit before tax from:</t>
  </si>
  <si>
    <t xml:space="preserve">     Continuing operations</t>
  </si>
  <si>
    <t xml:space="preserve">     Discontinued operations </t>
  </si>
  <si>
    <t>Profit before tax (including discontinued operations)</t>
  </si>
  <si>
    <t>Lease liability interest</t>
  </si>
  <si>
    <t xml:space="preserve">Profit before tax and interest paid </t>
  </si>
  <si>
    <t>Depreciation, amortization and impairment losses</t>
  </si>
  <si>
    <t>Income from joint ventures</t>
  </si>
  <si>
    <t>Net gain(-)/loss on sale of non-current assets</t>
  </si>
  <si>
    <t>Income taxes paid</t>
  </si>
  <si>
    <t>Change in trade receivables</t>
  </si>
  <si>
    <t>Change in other current  assets</t>
  </si>
  <si>
    <t>Change in inventories</t>
  </si>
  <si>
    <t>Change in trade payables</t>
  </si>
  <si>
    <t xml:space="preserve">Change in other current liabilities </t>
  </si>
  <si>
    <t>Change in net pension liabilities</t>
  </si>
  <si>
    <t>Net cashflow from operating activities</t>
  </si>
  <si>
    <t>Purchase of non-current assets</t>
  </si>
  <si>
    <t>Acquisition of subsidiaries and joint ventures</t>
  </si>
  <si>
    <t>Proceeds from sale of non-current assets</t>
  </si>
  <si>
    <t>Proceeds from sale of financial assets and businesses</t>
  </si>
  <si>
    <t>Dividend from joint ventures</t>
  </si>
  <si>
    <t>Change in other non-current assets</t>
  </si>
  <si>
    <t>Net cash flow from investing activities</t>
  </si>
  <si>
    <t>Proceeds of loans from financial institutions</t>
  </si>
  <si>
    <t>Repayment of loans from financial institutions</t>
  </si>
  <si>
    <t>Lease payments</t>
  </si>
  <si>
    <t>Dividend paid to equity holders of Elopak ASA</t>
  </si>
  <si>
    <t>Purchase of treasury shares</t>
  </si>
  <si>
    <t>Net cash flow from financing activities</t>
  </si>
  <si>
    <t xml:space="preserve">Effects of exchange rate changes on cash and cash equivalents </t>
  </si>
  <si>
    <t>Net change in cash and cash equivalents</t>
  </si>
  <si>
    <t>Cash and cash equivalents at the beginning of the year</t>
  </si>
  <si>
    <t>Cash and cash equivalents at the end of the period</t>
  </si>
  <si>
    <t>Cash flow</t>
  </si>
  <si>
    <t>Corrected for IRS in 2023 Sep</t>
  </si>
  <si>
    <t>Hyperion</t>
  </si>
  <si>
    <t>Account description</t>
  </si>
  <si>
    <t>SAP</t>
  </si>
  <si>
    <t>Amounts</t>
  </si>
  <si>
    <t>The unerlying calculation could be found in this link below:</t>
  </si>
  <si>
    <t>Interests receivables external</t>
  </si>
  <si>
    <t>S:\Finance\1 GAD\01 Consolidation\Actual\2023 Actual\09 Sep\Journals\Cashflow\IRS</t>
  </si>
  <si>
    <t>Interests payables external</t>
  </si>
  <si>
    <t>Hedge revaluation short term</t>
  </si>
  <si>
    <t>Accrued income short term</t>
  </si>
  <si>
    <t>Accrued interest</t>
  </si>
  <si>
    <t>Bank accounts</t>
  </si>
  <si>
    <t>Plug to correct for Treasury shares purchased</t>
  </si>
  <si>
    <t>FRP</t>
  </si>
  <si>
    <t>"Principal portion" from "Cash flow journals/CF60"</t>
  </si>
  <si>
    <t>Total income</t>
  </si>
  <si>
    <t>Depreciation and amortization expenses</t>
  </si>
  <si>
    <t>Profit/loss</t>
  </si>
  <si>
    <t>Profit/loss from continuing operations</t>
  </si>
  <si>
    <t>Profit/loss before tax from continuing operations</t>
  </si>
  <si>
    <t>Profit/loss attributable to:</t>
  </si>
  <si>
    <t>EBITDA</t>
  </si>
  <si>
    <t>Purchase and payment to non-controlling interests</t>
  </si>
  <si>
    <t>Capital increase</t>
  </si>
  <si>
    <t>EMEA</t>
  </si>
  <si>
    <t>Americas</t>
  </si>
  <si>
    <t>Other and eliminations</t>
  </si>
  <si>
    <t>Group</t>
  </si>
  <si>
    <t>Operating expenses</t>
  </si>
  <si>
    <t>Depreciation and amortization</t>
  </si>
  <si>
    <t>Impairment</t>
  </si>
  <si>
    <t>Adjusted EBITDA</t>
  </si>
  <si>
    <t>CONSOLIDATED 
STATEMENT OF FINANCIAL POSITION</t>
  </si>
  <si>
    <t>CONSOLIDATED 
STATEMENT OF CASH FLOWS</t>
  </si>
  <si>
    <t xml:space="preserve">Net unrealized currency gain(-)/loss </t>
  </si>
  <si>
    <t>Net gains(-), losses from disposals, impairments and change in fair value of financial assets and liabilities</t>
  </si>
  <si>
    <t>CONSOLIDATED STATEMENT OF INCOME</t>
  </si>
  <si>
    <t>Fair value changes on financial instruments</t>
  </si>
  <si>
    <t>Net financial items</t>
  </si>
  <si>
    <t>Non-current non-interest bearing liabilities</t>
  </si>
  <si>
    <t>Check BS</t>
  </si>
  <si>
    <t>Check assets</t>
  </si>
  <si>
    <t>Check liability and equity</t>
  </si>
  <si>
    <t>Check NCA</t>
  </si>
  <si>
    <t>Check CA</t>
  </si>
  <si>
    <t>Check equity</t>
  </si>
  <si>
    <t>Check NCL</t>
  </si>
  <si>
    <t>Check CL</t>
  </si>
  <si>
    <t>Checks</t>
  </si>
  <si>
    <t>Proceeds from and repayments of 
borrowings</t>
  </si>
  <si>
    <t>Interest on borrowings</t>
  </si>
  <si>
    <t>Q1 21</t>
  </si>
  <si>
    <t>Q2 21</t>
  </si>
  <si>
    <t>Q3 21</t>
  </si>
  <si>
    <t>Q4 21</t>
  </si>
  <si>
    <t>Q1 22</t>
  </si>
  <si>
    <t>Q2 22</t>
  </si>
  <si>
    <t>Q3 22</t>
  </si>
  <si>
    <t>Q4 22</t>
  </si>
  <si>
    <t>Q1 23</t>
  </si>
  <si>
    <t>Q2 23</t>
  </si>
  <si>
    <t>Q3 23</t>
  </si>
  <si>
    <t>Q4 23</t>
  </si>
  <si>
    <t>Q1 24</t>
  </si>
  <si>
    <t>Q2 24</t>
  </si>
  <si>
    <t>Q3 24</t>
  </si>
  <si>
    <t>Q4 24</t>
  </si>
  <si>
    <t>Net Sales Revenue (Total Group)</t>
  </si>
  <si>
    <t>Revenue exl. IFRS 15</t>
  </si>
  <si>
    <t>Net Sales Revenue (IFRS 15)</t>
  </si>
  <si>
    <t>EBITDA effects (IFRS 15)</t>
  </si>
  <si>
    <r>
      <t>Net payments on supply chain financing</t>
    </r>
    <r>
      <rPr>
        <vertAlign val="superscript"/>
        <sz val="9.9"/>
        <color theme="1"/>
        <rFont val="Calibri"/>
        <family val="2"/>
      </rPr>
      <t>1)</t>
    </r>
  </si>
  <si>
    <r>
      <t>Current non-interest bearing liabilities</t>
    </r>
    <r>
      <rPr>
        <vertAlign val="superscript"/>
        <sz val="9.9"/>
        <color theme="1"/>
        <rFont val="Calibri"/>
        <family val="2"/>
      </rPr>
      <t>1)</t>
    </r>
  </si>
  <si>
    <t xml:space="preserve"> Adjusted EBITDA margin</t>
  </si>
  <si>
    <t>Current interest bearing liabilities</t>
  </si>
  <si>
    <t>Non-current interest bearing liabilities</t>
  </si>
  <si>
    <r>
      <rPr>
        <vertAlign val="superscript"/>
        <sz val="9.9"/>
        <color theme="1"/>
        <rFont val="Calibri"/>
        <family val="2"/>
      </rPr>
      <t>1)</t>
    </r>
    <r>
      <rPr>
        <sz val="11"/>
        <color theme="1"/>
        <rFont val="Calibri"/>
        <family val="2"/>
        <scheme val="minor"/>
      </rPr>
      <t xml:space="preserve"> Supply chain financing presented as current non-interest bearing liabilities from December 2024. The comparative numbers have been restated in the BS.</t>
    </r>
  </si>
  <si>
    <t>Q1 25</t>
  </si>
  <si>
    <t>in EUR 1 000</t>
  </si>
  <si>
    <t>in mEUR</t>
  </si>
  <si>
    <t>IFRS 15 EFFECTS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</si>
</sst>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 #,##0_-;_-* &quot;-&quot;??_-;_-@_-"/>
    <numFmt numFmtId="165" formatCode="_-* #,##0.0_-;\-* #,##0.0_-;_-* &quot;-&quot;??_-;_-@_-"/>
    <numFmt numFmtId="166" formatCode="_ * #,##0.0_ ;_ * \-#,##0.0_ ;_ * &quot;-&quot;??_ ;_ @_ "/>
    <numFmt numFmtId="167" formatCode="#,##0.0"/>
    <numFmt numFmtId="168" formatCode="_-* #,##0.0_-;\-* #,##0.0_-;_-* &quot;-&quot;?_-;_-@_-"/>
    <numFmt numFmtId="169" formatCode="0.0\ %"/>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1"/>
      <color theme="2" tint="-9.9978637043366805E-2"/>
      <name val="Calibri"/>
      <family val="2"/>
      <scheme val="minor"/>
    </font>
    <font>
      <sz val="10"/>
      <color rgb="FF000000"/>
      <name val="Arial"/>
      <family val="2"/>
    </font>
    <font>
      <sz val="10"/>
      <name val="Arial"/>
      <family val="2"/>
    </font>
    <font>
      <sz val="11"/>
      <name val="Calibri"/>
      <family val="2"/>
      <scheme val="minor"/>
    </font>
    <font>
      <i/>
      <sz val="11"/>
      <color theme="1"/>
      <name val="Calibri"/>
      <family val="2"/>
      <scheme val="minor"/>
    </font>
    <font>
      <vertAlign val="superscript"/>
      <sz val="9.9"/>
      <color theme="1"/>
      <name val="Calibri"/>
      <family val="2"/>
    </font>
    <font>
      <b/>
      <sz val="11"/>
      <name val="Calibri"/>
      <family val="2"/>
      <scheme val="minor"/>
    </font>
  </fonts>
  <fills count="7">
    <fill>
      <patternFill patternType="none"/>
    </fill>
    <fill>
      <patternFill patternType="gray125"/>
    </fill>
    <fill>
      <patternFill patternType="solid">
        <fgColor rgb="FFEBF1DE"/>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D7E2E1"/>
        <bgColor indexed="64"/>
      </patternFill>
    </fill>
  </fills>
  <borders count="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5" fillId="0" borderId="0"/>
    <xf numFmtId="0" fontId="6" fillId="0" borderId="0"/>
    <xf numFmtId="43" fontId="6" fillId="0" borderId="0" applyFont="0" applyFill="0" applyBorder="0" applyAlignment="0" applyProtection="0"/>
    <xf numFmtId="0" fontId="6" fillId="0" borderId="0"/>
    <xf numFmtId="0" fontId="1" fillId="0" borderId="0"/>
    <xf numFmtId="0" fontId="6" fillId="0" borderId="0"/>
    <xf numFmtId="9" fontId="1" fillId="0" borderId="0" applyFont="0" applyFill="0" applyBorder="0" applyAlignment="0" applyProtection="0"/>
  </cellStyleXfs>
  <cellXfs count="340">
    <xf numFmtId="0" fontId="0" fillId="0" borderId="0" xfId="0"/>
    <xf numFmtId="0" fontId="0" fillId="0" borderId="0" xfId="0" applyAlignment="1">
      <alignment horizontal="left"/>
    </xf>
    <xf numFmtId="0" fontId="2" fillId="0" borderId="0" xfId="0" applyFont="1"/>
    <xf numFmtId="43" fontId="0" fillId="0" borderId="0" xfId="1" applyFont="1"/>
    <xf numFmtId="164" fontId="0" fillId="0" borderId="0" xfId="1" applyNumberFormat="1" applyFont="1"/>
    <xf numFmtId="0" fontId="0" fillId="0" borderId="0" xfId="0" applyAlignment="1">
      <alignment horizontal="right"/>
    </xf>
    <xf numFmtId="164" fontId="0" fillId="0" borderId="0" xfId="1" applyNumberFormat="1" applyFont="1" applyAlignment="1">
      <alignment horizontal="right"/>
    </xf>
    <xf numFmtId="164" fontId="2" fillId="0" borderId="0" xfId="1" applyNumberFormat="1" applyFont="1" applyAlignment="1">
      <alignment horizontal="right"/>
    </xf>
    <xf numFmtId="0" fontId="4" fillId="0" borderId="0" xfId="0" applyFont="1"/>
    <xf numFmtId="0" fontId="0" fillId="3" borderId="0" xfId="0" applyFill="1"/>
    <xf numFmtId="164" fontId="1" fillId="0" borderId="0" xfId="1" applyNumberFormat="1" applyFont="1" applyAlignment="1">
      <alignment horizontal="right"/>
    </xf>
    <xf numFmtId="0" fontId="0" fillId="0" borderId="1" xfId="0" applyBorder="1" applyAlignment="1">
      <alignment horizontal="center"/>
    </xf>
    <xf numFmtId="164" fontId="0" fillId="0" borderId="1" xfId="1" applyNumberFormat="1" applyFont="1" applyBorder="1" applyAlignment="1">
      <alignment horizontal="right"/>
    </xf>
    <xf numFmtId="164" fontId="2" fillId="0" borderId="1" xfId="1" applyNumberFormat="1" applyFont="1" applyBorder="1" applyAlignment="1">
      <alignment horizontal="right"/>
    </xf>
    <xf numFmtId="164" fontId="1" fillId="0" borderId="1" xfId="1" applyNumberFormat="1" applyFont="1" applyBorder="1" applyAlignment="1">
      <alignment horizontal="right"/>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 xfId="0" applyBorder="1"/>
    <xf numFmtId="0" fontId="0" fillId="0" borderId="2" xfId="0" applyBorder="1" applyAlignment="1">
      <alignment horizontal="right"/>
    </xf>
    <xf numFmtId="0" fontId="2" fillId="0" borderId="0" xfId="0" applyFont="1" applyAlignment="1">
      <alignment horizontal="left"/>
    </xf>
    <xf numFmtId="0" fontId="2" fillId="0" borderId="2" xfId="0" applyFont="1" applyBorder="1" applyAlignment="1">
      <alignment horizontal="left"/>
    </xf>
    <xf numFmtId="0" fontId="2" fillId="0" borderId="2" xfId="0" applyFont="1" applyBorder="1"/>
    <xf numFmtId="164" fontId="0" fillId="0" borderId="0" xfId="1" applyNumberFormat="1" applyFont="1" applyBorder="1" applyAlignment="1">
      <alignment horizontal="right"/>
    </xf>
    <xf numFmtId="0" fontId="0" fillId="0" borderId="4" xfId="0" applyBorder="1"/>
    <xf numFmtId="0" fontId="0" fillId="2" borderId="0" xfId="0" applyFill="1" applyAlignment="1">
      <alignment horizontal="right"/>
    </xf>
    <xf numFmtId="0" fontId="0" fillId="2" borderId="2" xfId="0" applyFill="1" applyBorder="1" applyAlignment="1">
      <alignment horizontal="right"/>
    </xf>
    <xf numFmtId="0" fontId="7" fillId="0" borderId="0" xfId="2" quotePrefix="1" applyFont="1" applyAlignment="1">
      <alignment horizontal="center"/>
    </xf>
    <xf numFmtId="0" fontId="7" fillId="0" borderId="1" xfId="2" quotePrefix="1" applyFont="1" applyBorder="1" applyAlignment="1">
      <alignment horizontal="center"/>
    </xf>
    <xf numFmtId="0" fontId="7" fillId="0" borderId="5" xfId="2" quotePrefix="1" applyFont="1" applyBorder="1" applyAlignment="1">
      <alignment horizontal="center"/>
    </xf>
    <xf numFmtId="0" fontId="0" fillId="0" borderId="6" xfId="0" applyBorder="1" applyAlignment="1">
      <alignment horizontal="center"/>
    </xf>
    <xf numFmtId="0" fontId="0" fillId="0" borderId="5" xfId="0" applyBorder="1"/>
    <xf numFmtId="0" fontId="0" fillId="0" borderId="5" xfId="0" applyBorder="1" applyAlignment="1">
      <alignment horizontal="center"/>
    </xf>
    <xf numFmtId="164" fontId="0" fillId="0" borderId="5" xfId="1" applyNumberFormat="1" applyFont="1" applyBorder="1" applyAlignment="1">
      <alignment horizontal="right"/>
    </xf>
    <xf numFmtId="0" fontId="2" fillId="0" borderId="2" xfId="0" applyFont="1" applyBorder="1" applyAlignment="1">
      <alignment wrapText="1"/>
    </xf>
    <xf numFmtId="0" fontId="2" fillId="0" borderId="7" xfId="0" applyFont="1" applyBorder="1"/>
    <xf numFmtId="164" fontId="2" fillId="0" borderId="0" xfId="1" applyNumberFormat="1" applyFont="1" applyBorder="1" applyAlignment="1">
      <alignment horizontal="right"/>
    </xf>
    <xf numFmtId="164" fontId="2" fillId="0" borderId="5" xfId="1" applyNumberFormat="1" applyFont="1" applyBorder="1" applyAlignment="1">
      <alignment horizontal="right"/>
    </xf>
    <xf numFmtId="0" fontId="0" fillId="0" borderId="0" xfId="0" applyAlignment="1">
      <alignment wrapText="1"/>
    </xf>
    <xf numFmtId="164" fontId="1" fillId="0" borderId="0" xfId="1" applyNumberFormat="1" applyFont="1" applyBorder="1" applyAlignment="1">
      <alignment horizontal="right"/>
    </xf>
    <xf numFmtId="164" fontId="1" fillId="0" borderId="5" xfId="1" applyNumberFormat="1" applyFont="1" applyBorder="1" applyAlignment="1">
      <alignment horizontal="right"/>
    </xf>
    <xf numFmtId="0" fontId="0" fillId="0" borderId="0" xfId="0" applyAlignment="1">
      <alignment vertical="top"/>
    </xf>
    <xf numFmtId="164" fontId="0" fillId="3" borderId="0" xfId="4" applyNumberFormat="1" applyFont="1" applyFill="1" applyAlignment="1">
      <alignment vertical="top"/>
    </xf>
    <xf numFmtId="164" fontId="0" fillId="4" borderId="0" xfId="4" applyNumberFormat="1" applyFont="1" applyFill="1" applyAlignment="1">
      <alignment vertical="top"/>
    </xf>
    <xf numFmtId="164" fontId="0" fillId="0" borderId="0" xfId="4" applyNumberFormat="1" applyFont="1" applyAlignment="1">
      <alignment vertical="top"/>
    </xf>
    <xf numFmtId="164" fontId="0" fillId="0" borderId="0" xfId="0" applyNumberFormat="1" applyAlignment="1">
      <alignment vertical="top"/>
    </xf>
    <xf numFmtId="164" fontId="0" fillId="0" borderId="0" xfId="1" applyNumberFormat="1" applyFont="1" applyFill="1" applyBorder="1" applyAlignment="1">
      <alignment horizontal="right"/>
    </xf>
    <xf numFmtId="164" fontId="2" fillId="0" borderId="0" xfId="0" applyNumberFormat="1" applyFont="1"/>
    <xf numFmtId="164" fontId="0" fillId="0" borderId="5" xfId="1" applyNumberFormat="1" applyFont="1" applyFill="1" applyBorder="1" applyAlignment="1">
      <alignment horizontal="right"/>
    </xf>
    <xf numFmtId="164" fontId="0" fillId="0" borderId="1" xfId="1" applyNumberFormat="1" applyFont="1" applyFill="1" applyBorder="1" applyAlignment="1">
      <alignment horizontal="right"/>
    </xf>
    <xf numFmtId="0" fontId="7" fillId="0" borderId="0" xfId="0" applyFont="1"/>
    <xf numFmtId="0" fontId="0" fillId="5" borderId="0" xfId="0" applyFill="1" applyAlignment="1">
      <alignment horizontal="right"/>
    </xf>
    <xf numFmtId="0" fontId="0" fillId="5" borderId="0" xfId="0" applyFill="1"/>
    <xf numFmtId="0" fontId="0" fillId="5" borderId="0" xfId="0" applyFill="1" applyAlignment="1">
      <alignment horizontal="center"/>
    </xf>
    <xf numFmtId="0" fontId="0" fillId="5" borderId="2" xfId="0" applyFill="1" applyBorder="1" applyAlignment="1">
      <alignment horizontal="center"/>
    </xf>
    <xf numFmtId="0" fontId="0" fillId="0" borderId="5" xfId="0" applyBorder="1" applyAlignment="1">
      <alignment horizontal="right"/>
    </xf>
    <xf numFmtId="0" fontId="2" fillId="5" borderId="2" xfId="0" applyFont="1" applyFill="1" applyBorder="1"/>
    <xf numFmtId="0" fontId="2" fillId="5" borderId="0" xfId="0" applyFont="1" applyFill="1"/>
    <xf numFmtId="0" fontId="0" fillId="5" borderId="2" xfId="0" applyFill="1" applyBorder="1"/>
    <xf numFmtId="164" fontId="0" fillId="0" borderId="0" xfId="0" applyNumberFormat="1"/>
    <xf numFmtId="0" fontId="0" fillId="5" borderId="5" xfId="0" applyFill="1" applyBorder="1" applyAlignment="1">
      <alignment horizontal="right"/>
    </xf>
    <xf numFmtId="0" fontId="0" fillId="0" borderId="12" xfId="0" applyBorder="1"/>
    <xf numFmtId="0" fontId="0" fillId="0" borderId="14" xfId="0" applyBorder="1"/>
    <xf numFmtId="2" fontId="0" fillId="0" borderId="0" xfId="0" applyNumberFormat="1" applyAlignment="1">
      <alignment horizontal="right"/>
    </xf>
    <xf numFmtId="2" fontId="0" fillId="0" borderId="2" xfId="0" applyNumberFormat="1" applyBorder="1" applyAlignment="1">
      <alignment horizontal="right"/>
    </xf>
    <xf numFmtId="2" fontId="0" fillId="0" borderId="5" xfId="0" applyNumberFormat="1" applyBorder="1" applyAlignment="1">
      <alignment horizontal="right"/>
    </xf>
    <xf numFmtId="2" fontId="0" fillId="0" borderId="6" xfId="0" applyNumberFormat="1" applyBorder="1" applyAlignment="1">
      <alignment horizontal="right"/>
    </xf>
    <xf numFmtId="164" fontId="2" fillId="0" borderId="0" xfId="1" applyNumberFormat="1" applyFont="1" applyBorder="1"/>
    <xf numFmtId="164" fontId="2" fillId="5" borderId="0" xfId="1" applyNumberFormat="1" applyFont="1" applyFill="1" applyBorder="1"/>
    <xf numFmtId="164" fontId="2" fillId="0" borderId="5" xfId="1" applyNumberFormat="1" applyFont="1" applyBorder="1"/>
    <xf numFmtId="0" fontId="2" fillId="0" borderId="6" xfId="0" applyFont="1" applyBorder="1"/>
    <xf numFmtId="0" fontId="0" fillId="2" borderId="0" xfId="0" applyFill="1"/>
    <xf numFmtId="3" fontId="0" fillId="5" borderId="0" xfId="1" applyNumberFormat="1" applyFont="1" applyFill="1" applyAlignment="1">
      <alignment horizontal="right"/>
    </xf>
    <xf numFmtId="3" fontId="0" fillId="5" borderId="0" xfId="1" applyNumberFormat="1" applyFont="1" applyFill="1" applyBorder="1" applyAlignment="1">
      <alignment horizontal="right"/>
    </xf>
    <xf numFmtId="3" fontId="0" fillId="5" borderId="5" xfId="1" applyNumberFormat="1" applyFont="1" applyFill="1" applyBorder="1" applyAlignment="1">
      <alignment horizontal="right"/>
    </xf>
    <xf numFmtId="3" fontId="2" fillId="5" borderId="2" xfId="1" applyNumberFormat="1" applyFont="1" applyFill="1" applyBorder="1" applyAlignment="1">
      <alignment horizontal="right"/>
    </xf>
    <xf numFmtId="3" fontId="2" fillId="5" borderId="6" xfId="1" applyNumberFormat="1" applyFont="1" applyFill="1" applyBorder="1" applyAlignment="1">
      <alignment horizontal="right"/>
    </xf>
    <xf numFmtId="3" fontId="0" fillId="5" borderId="0" xfId="0" applyNumberFormat="1" applyFill="1" applyAlignment="1">
      <alignment horizontal="right"/>
    </xf>
    <xf numFmtId="3" fontId="0" fillId="5" borderId="5" xfId="0" applyNumberFormat="1" applyFill="1" applyBorder="1" applyAlignment="1">
      <alignment horizontal="right"/>
    </xf>
    <xf numFmtId="3" fontId="2" fillId="5" borderId="2" xfId="0" applyNumberFormat="1" applyFont="1" applyFill="1" applyBorder="1" applyAlignment="1">
      <alignment horizontal="right"/>
    </xf>
    <xf numFmtId="3" fontId="2" fillId="5" borderId="6" xfId="0" applyNumberFormat="1" applyFont="1" applyFill="1" applyBorder="1" applyAlignment="1">
      <alignment horizontal="right"/>
    </xf>
    <xf numFmtId="3" fontId="1" fillId="5" borderId="0" xfId="1" applyNumberFormat="1" applyFont="1" applyFill="1" applyAlignment="1">
      <alignment horizontal="right"/>
    </xf>
    <xf numFmtId="3" fontId="1" fillId="5" borderId="0" xfId="1" applyNumberFormat="1" applyFont="1" applyFill="1" applyBorder="1" applyAlignment="1">
      <alignment horizontal="right"/>
    </xf>
    <xf numFmtId="3" fontId="0" fillId="5" borderId="4" xfId="0" applyNumberFormat="1" applyFill="1" applyBorder="1" applyAlignment="1">
      <alignment horizontal="right"/>
    </xf>
    <xf numFmtId="3" fontId="0" fillId="5" borderId="10" xfId="0" applyNumberFormat="1" applyFill="1" applyBorder="1" applyAlignment="1">
      <alignment horizontal="right"/>
    </xf>
    <xf numFmtId="3" fontId="0" fillId="5" borderId="2" xfId="1" applyNumberFormat="1" applyFont="1" applyFill="1" applyBorder="1" applyAlignment="1">
      <alignment horizontal="right"/>
    </xf>
    <xf numFmtId="3" fontId="0" fillId="5" borderId="6" xfId="1" applyNumberFormat="1" applyFont="1" applyFill="1" applyBorder="1" applyAlignment="1">
      <alignment horizontal="right"/>
    </xf>
    <xf numFmtId="3" fontId="0" fillId="0" borderId="1" xfId="1" applyNumberFormat="1" applyFont="1" applyBorder="1" applyAlignment="1">
      <alignment horizontal="right"/>
    </xf>
    <xf numFmtId="3" fontId="0" fillId="0" borderId="5" xfId="1" applyNumberFormat="1" applyFont="1" applyBorder="1" applyAlignment="1">
      <alignment horizontal="right"/>
    </xf>
    <xf numFmtId="3" fontId="0" fillId="0" borderId="0" xfId="1" applyNumberFormat="1" applyFont="1" applyBorder="1" applyAlignment="1">
      <alignment horizontal="right"/>
    </xf>
    <xf numFmtId="3" fontId="0" fillId="0" borderId="0" xfId="1" applyNumberFormat="1" applyFont="1" applyAlignment="1">
      <alignment horizontal="right"/>
    </xf>
    <xf numFmtId="3" fontId="2" fillId="0" borderId="6" xfId="1" applyNumberFormat="1" applyFont="1" applyBorder="1" applyAlignment="1">
      <alignment horizontal="right"/>
    </xf>
    <xf numFmtId="3" fontId="2" fillId="0" borderId="2" xfId="1" applyNumberFormat="1" applyFont="1" applyBorder="1" applyAlignment="1">
      <alignment horizontal="right"/>
    </xf>
    <xf numFmtId="3" fontId="2" fillId="0" borderId="3" xfId="1" applyNumberFormat="1" applyFont="1" applyBorder="1" applyAlignment="1">
      <alignment horizontal="right"/>
    </xf>
    <xf numFmtId="3" fontId="0" fillId="0" borderId="5" xfId="0" applyNumberFormat="1" applyBorder="1"/>
    <xf numFmtId="3" fontId="0" fillId="0" borderId="0" xfId="0" applyNumberFormat="1"/>
    <xf numFmtId="3" fontId="0" fillId="0" borderId="1" xfId="0" applyNumberFormat="1" applyBorder="1"/>
    <xf numFmtId="3" fontId="0" fillId="0" borderId="12" xfId="0" applyNumberFormat="1" applyBorder="1"/>
    <xf numFmtId="3" fontId="2" fillId="0" borderId="8" xfId="1" applyNumberFormat="1" applyFont="1" applyBorder="1" applyAlignment="1">
      <alignment horizontal="right"/>
    </xf>
    <xf numFmtId="3" fontId="2" fillId="0" borderId="7" xfId="1" applyNumberFormat="1" applyFont="1" applyBorder="1" applyAlignment="1">
      <alignment horizontal="right"/>
    </xf>
    <xf numFmtId="3" fontId="2" fillId="0" borderId="9" xfId="1" applyNumberFormat="1" applyFont="1" applyBorder="1" applyAlignment="1">
      <alignment horizontal="right"/>
    </xf>
    <xf numFmtId="3" fontId="0" fillId="0" borderId="13" xfId="0" applyNumberFormat="1" applyBorder="1"/>
    <xf numFmtId="3" fontId="0" fillId="0" borderId="14" xfId="0" applyNumberFormat="1" applyBorder="1"/>
    <xf numFmtId="3" fontId="0" fillId="0" borderId="15" xfId="0" applyNumberFormat="1" applyBorder="1"/>
    <xf numFmtId="3" fontId="0" fillId="0" borderId="11" xfId="0" applyNumberFormat="1" applyBorder="1"/>
    <xf numFmtId="3" fontId="0" fillId="0" borderId="16" xfId="0" applyNumberFormat="1" applyBorder="1"/>
    <xf numFmtId="2" fontId="0" fillId="0" borderId="0" xfId="0" applyNumberFormat="1" applyBorder="1" applyAlignment="1">
      <alignment horizontal="right"/>
    </xf>
    <xf numFmtId="0" fontId="0" fillId="0" borderId="0" xfId="0" applyBorder="1"/>
    <xf numFmtId="164" fontId="2" fillId="5" borderId="0" xfId="0" applyNumberFormat="1" applyFont="1" applyFill="1" applyBorder="1" applyAlignment="1">
      <alignment horizontal="right"/>
    </xf>
    <xf numFmtId="0" fontId="2" fillId="0" borderId="0" xfId="0" applyFont="1" applyBorder="1"/>
    <xf numFmtId="0" fontId="0" fillId="0" borderId="0" xfId="0" applyFill="1"/>
    <xf numFmtId="164" fontId="0" fillId="0" borderId="0" xfId="1" applyNumberFormat="1" applyFont="1" applyFill="1" applyAlignment="1">
      <alignment horizontal="right"/>
    </xf>
    <xf numFmtId="0" fontId="2" fillId="0" borderId="0" xfId="0" applyFont="1" applyAlignment="1">
      <alignment horizontal="center"/>
    </xf>
    <xf numFmtId="0" fontId="0" fillId="0" borderId="0" xfId="0" applyBorder="1" applyAlignment="1">
      <alignment horizontal="center"/>
    </xf>
    <xf numFmtId="0" fontId="0" fillId="0" borderId="0" xfId="0" applyBorder="1" applyAlignment="1">
      <alignment horizontal="right"/>
    </xf>
    <xf numFmtId="164" fontId="2" fillId="0" borderId="0" xfId="1" applyNumberFormat="1" applyFont="1"/>
    <xf numFmtId="0" fontId="4" fillId="0" borderId="0" xfId="0" applyFont="1" applyFill="1"/>
    <xf numFmtId="0" fontId="7" fillId="0" borderId="0" xfId="2" quotePrefix="1" applyFont="1" applyFill="1" applyAlignment="1">
      <alignment horizontal="center"/>
    </xf>
    <xf numFmtId="0" fontId="0" fillId="0" borderId="2" xfId="0" applyFill="1" applyBorder="1" applyAlignment="1">
      <alignment horizontal="center"/>
    </xf>
    <xf numFmtId="0" fontId="0" fillId="0" borderId="0" xfId="0" applyFill="1" applyAlignment="1">
      <alignment horizontal="center"/>
    </xf>
    <xf numFmtId="3" fontId="0" fillId="0" borderId="0" xfId="1" applyNumberFormat="1" applyFont="1" applyFill="1" applyAlignment="1">
      <alignment horizontal="right"/>
    </xf>
    <xf numFmtId="3" fontId="0" fillId="0" borderId="0" xfId="1" applyNumberFormat="1" applyFont="1" applyFill="1" applyBorder="1" applyAlignment="1">
      <alignment horizontal="right"/>
    </xf>
    <xf numFmtId="3" fontId="2" fillId="0" borderId="2" xfId="1" applyNumberFormat="1" applyFont="1" applyFill="1" applyBorder="1" applyAlignment="1">
      <alignment horizontal="right"/>
    </xf>
    <xf numFmtId="3" fontId="2" fillId="0" borderId="7" xfId="1" applyNumberFormat="1" applyFont="1" applyFill="1" applyBorder="1" applyAlignment="1">
      <alignment horizontal="right"/>
    </xf>
    <xf numFmtId="3" fontId="0" fillId="0" borderId="14" xfId="1" applyNumberFormat="1" applyFont="1" applyFill="1" applyBorder="1" applyAlignment="1">
      <alignment horizontal="right"/>
    </xf>
    <xf numFmtId="3" fontId="0" fillId="0" borderId="12" xfId="1" applyNumberFormat="1" applyFont="1" applyFill="1" applyBorder="1" applyAlignment="1">
      <alignment horizontal="right"/>
    </xf>
    <xf numFmtId="0" fontId="2" fillId="0" borderId="0" xfId="0" applyFont="1" applyFill="1" applyAlignment="1">
      <alignment horizontal="center"/>
    </xf>
    <xf numFmtId="164" fontId="2" fillId="0" borderId="0" xfId="1" applyNumberFormat="1" applyFont="1" applyFill="1" applyBorder="1" applyAlignment="1">
      <alignment horizontal="right"/>
    </xf>
    <xf numFmtId="164" fontId="1" fillId="0" borderId="0" xfId="1" applyNumberFormat="1" applyFont="1" applyFill="1" applyBorder="1" applyAlignment="1">
      <alignment horizontal="right"/>
    </xf>
    <xf numFmtId="0" fontId="0" fillId="0" borderId="0" xfId="0" applyFill="1" applyAlignment="1">
      <alignment horizontal="right"/>
    </xf>
    <xf numFmtId="3" fontId="0" fillId="0" borderId="0" xfId="0" applyNumberFormat="1" applyFill="1" applyAlignment="1">
      <alignment horizontal="right"/>
    </xf>
    <xf numFmtId="3" fontId="1" fillId="0" borderId="0" xfId="1" applyNumberFormat="1" applyFont="1" applyFill="1" applyAlignment="1">
      <alignment horizontal="right"/>
    </xf>
    <xf numFmtId="3" fontId="0" fillId="0" borderId="4" xfId="0" applyNumberFormat="1" applyFill="1" applyBorder="1" applyAlignment="1">
      <alignment horizontal="right"/>
    </xf>
    <xf numFmtId="3" fontId="2" fillId="0" borderId="2" xfId="0" applyNumberFormat="1" applyFont="1" applyFill="1" applyBorder="1" applyAlignment="1">
      <alignment horizontal="right"/>
    </xf>
    <xf numFmtId="3" fontId="0" fillId="0" borderId="2" xfId="1" applyNumberFormat="1" applyFont="1" applyFill="1" applyBorder="1" applyAlignment="1">
      <alignment horizontal="right"/>
    </xf>
    <xf numFmtId="2" fontId="0" fillId="0" borderId="0" xfId="0" applyNumberFormat="1" applyFill="1" applyAlignment="1">
      <alignment horizontal="right"/>
    </xf>
    <xf numFmtId="2" fontId="0" fillId="0" borderId="2" xfId="0" applyNumberFormat="1" applyFill="1" applyBorder="1" applyAlignment="1">
      <alignment horizontal="right"/>
    </xf>
    <xf numFmtId="2" fontId="0" fillId="0" borderId="0" xfId="0" applyNumberFormat="1" applyFill="1" applyBorder="1" applyAlignment="1">
      <alignment horizontal="right"/>
    </xf>
    <xf numFmtId="164" fontId="2" fillId="0" borderId="0" xfId="0" applyNumberFormat="1" applyFont="1" applyFill="1" applyBorder="1" applyAlignment="1">
      <alignment horizontal="right"/>
    </xf>
    <xf numFmtId="164" fontId="2" fillId="0" borderId="0" xfId="1" applyNumberFormat="1" applyFont="1" applyFill="1" applyBorder="1"/>
    <xf numFmtId="0" fontId="2" fillId="0" borderId="2" xfId="0" applyFont="1" applyFill="1" applyBorder="1"/>
    <xf numFmtId="41" fontId="0" fillId="0" borderId="0" xfId="1" applyNumberFormat="1" applyFont="1" applyFill="1" applyBorder="1" applyAlignment="1">
      <alignment horizontal="right"/>
    </xf>
    <xf numFmtId="41" fontId="0" fillId="5" borderId="5" xfId="1" applyNumberFormat="1" applyFont="1" applyFill="1" applyBorder="1" applyAlignment="1">
      <alignment horizontal="right"/>
    </xf>
    <xf numFmtId="41" fontId="0" fillId="5" borderId="0" xfId="1" applyNumberFormat="1" applyFont="1" applyFill="1" applyBorder="1" applyAlignment="1">
      <alignment horizontal="right"/>
    </xf>
    <xf numFmtId="41" fontId="0" fillId="5" borderId="2" xfId="1" applyNumberFormat="1" applyFont="1" applyFill="1" applyBorder="1" applyAlignment="1">
      <alignment horizontal="right"/>
    </xf>
    <xf numFmtId="3" fontId="0" fillId="0" borderId="0" xfId="0" applyNumberFormat="1" applyFill="1" applyBorder="1" applyAlignment="1">
      <alignment horizontal="right"/>
    </xf>
    <xf numFmtId="3" fontId="0" fillId="5" borderId="0" xfId="0" applyNumberFormat="1" applyFill="1" applyBorder="1" applyAlignment="1">
      <alignment horizontal="right"/>
    </xf>
    <xf numFmtId="2" fontId="0" fillId="5" borderId="0" xfId="0" applyNumberFormat="1" applyFill="1" applyAlignment="1">
      <alignment horizontal="right"/>
    </xf>
    <xf numFmtId="2" fontId="0" fillId="5" borderId="2" xfId="0" applyNumberFormat="1" applyFill="1" applyBorder="1" applyAlignment="1">
      <alignment horizontal="right"/>
    </xf>
    <xf numFmtId="2" fontId="0" fillId="5" borderId="0" xfId="0" applyNumberFormat="1" applyFill="1" applyBorder="1" applyAlignment="1">
      <alignment horizontal="right"/>
    </xf>
    <xf numFmtId="3" fontId="0" fillId="0" borderId="5" xfId="1" applyNumberFormat="1" applyFont="1" applyFill="1" applyBorder="1" applyAlignment="1">
      <alignment horizontal="right"/>
    </xf>
    <xf numFmtId="0" fontId="4" fillId="5" borderId="0" xfId="0" applyFont="1" applyFill="1"/>
    <xf numFmtId="16" fontId="7" fillId="5" borderId="0" xfId="2" quotePrefix="1" applyNumberFormat="1" applyFont="1" applyFill="1" applyAlignment="1">
      <alignment horizontal="center"/>
    </xf>
    <xf numFmtId="3" fontId="2" fillId="5" borderId="7" xfId="1" applyNumberFormat="1" applyFont="1" applyFill="1" applyBorder="1" applyAlignment="1">
      <alignment horizontal="right"/>
    </xf>
    <xf numFmtId="3" fontId="0" fillId="5" borderId="14" xfId="1" applyNumberFormat="1" applyFont="1" applyFill="1" applyBorder="1" applyAlignment="1">
      <alignment horizontal="right"/>
    </xf>
    <xf numFmtId="3" fontId="0" fillId="5" borderId="12" xfId="1" applyNumberFormat="1" applyFont="1" applyFill="1" applyBorder="1" applyAlignment="1">
      <alignment horizontal="right"/>
    </xf>
    <xf numFmtId="0" fontId="2" fillId="5" borderId="0" xfId="0" applyFont="1" applyFill="1" applyAlignment="1">
      <alignment horizontal="center"/>
    </xf>
    <xf numFmtId="0" fontId="7" fillId="5" borderId="0" xfId="2" quotePrefix="1" applyFont="1" applyFill="1" applyAlignment="1">
      <alignment horizontal="center"/>
    </xf>
    <xf numFmtId="164" fontId="0" fillId="5" borderId="0" xfId="1" applyNumberFormat="1" applyFont="1" applyFill="1" applyBorder="1" applyAlignment="1">
      <alignment horizontal="right"/>
    </xf>
    <xf numFmtId="164" fontId="2" fillId="5" borderId="0" xfId="1" applyNumberFormat="1" applyFont="1" applyFill="1" applyBorder="1" applyAlignment="1">
      <alignment horizontal="right"/>
    </xf>
    <xf numFmtId="0" fontId="0" fillId="5" borderId="0" xfId="0" applyFill="1" applyBorder="1" applyAlignment="1">
      <alignment horizontal="center"/>
    </xf>
    <xf numFmtId="0" fontId="0" fillId="5" borderId="0" xfId="0" applyFill="1" applyBorder="1"/>
    <xf numFmtId="0" fontId="0" fillId="0" borderId="5" xfId="0" applyFill="1" applyBorder="1" applyAlignment="1">
      <alignment horizontal="center"/>
    </xf>
    <xf numFmtId="0" fontId="0" fillId="0" borderId="6" xfId="0" applyFill="1" applyBorder="1" applyAlignment="1">
      <alignment horizontal="center"/>
    </xf>
    <xf numFmtId="0" fontId="0" fillId="0" borderId="5" xfId="0" applyFill="1" applyBorder="1"/>
    <xf numFmtId="3" fontId="2" fillId="0" borderId="6" xfId="1" applyNumberFormat="1" applyFont="1" applyFill="1" applyBorder="1" applyAlignment="1">
      <alignment horizontal="right"/>
    </xf>
    <xf numFmtId="3" fontId="0" fillId="0" borderId="5" xfId="0" applyNumberFormat="1" applyFill="1" applyBorder="1" applyAlignment="1">
      <alignment horizontal="right"/>
    </xf>
    <xf numFmtId="3" fontId="1" fillId="0" borderId="5" xfId="1" applyNumberFormat="1" applyFont="1" applyFill="1" applyBorder="1" applyAlignment="1">
      <alignment horizontal="right"/>
    </xf>
    <xf numFmtId="3" fontId="0" fillId="0" borderId="10" xfId="0" applyNumberFormat="1" applyFill="1" applyBorder="1" applyAlignment="1">
      <alignment horizontal="right"/>
    </xf>
    <xf numFmtId="41" fontId="0" fillId="0" borderId="5" xfId="1" applyNumberFormat="1" applyFont="1" applyFill="1" applyBorder="1" applyAlignment="1">
      <alignment horizontal="right"/>
    </xf>
    <xf numFmtId="3" fontId="2" fillId="0" borderId="6" xfId="0" applyNumberFormat="1" applyFont="1" applyFill="1" applyBorder="1" applyAlignment="1">
      <alignment horizontal="right"/>
    </xf>
    <xf numFmtId="3" fontId="0" fillId="0" borderId="6" xfId="1" applyNumberFormat="1" applyFont="1" applyFill="1" applyBorder="1" applyAlignment="1">
      <alignment horizontal="right"/>
    </xf>
    <xf numFmtId="0" fontId="0" fillId="0" borderId="5" xfId="0" applyFill="1" applyBorder="1" applyAlignment="1">
      <alignment horizontal="right"/>
    </xf>
    <xf numFmtId="2" fontId="0" fillId="0" borderId="5" xfId="0" applyNumberFormat="1" applyFill="1" applyBorder="1" applyAlignment="1">
      <alignment horizontal="right"/>
    </xf>
    <xf numFmtId="2" fontId="0" fillId="0" borderId="6" xfId="0" applyNumberFormat="1" applyFill="1" applyBorder="1" applyAlignment="1">
      <alignment horizontal="right"/>
    </xf>
    <xf numFmtId="164" fontId="2" fillId="0" borderId="5" xfId="0" applyNumberFormat="1" applyFont="1" applyFill="1" applyBorder="1" applyAlignment="1">
      <alignment horizontal="right"/>
    </xf>
    <xf numFmtId="164" fontId="2" fillId="0" borderId="5" xfId="1" applyNumberFormat="1" applyFont="1" applyFill="1" applyBorder="1"/>
    <xf numFmtId="0" fontId="2" fillId="0" borderId="6" xfId="0" applyFont="1" applyFill="1" applyBorder="1"/>
    <xf numFmtId="0" fontId="7" fillId="0" borderId="5" xfId="2" quotePrefix="1" applyFont="1" applyFill="1" applyBorder="1" applyAlignment="1">
      <alignment horizontal="center"/>
    </xf>
    <xf numFmtId="3" fontId="0" fillId="0" borderId="5" xfId="0" applyNumberFormat="1" applyFill="1" applyBorder="1"/>
    <xf numFmtId="3" fontId="0" fillId="0" borderId="11" xfId="0" applyNumberFormat="1" applyFill="1" applyBorder="1"/>
    <xf numFmtId="3" fontId="2" fillId="0" borderId="8" xfId="1" applyNumberFormat="1" applyFont="1" applyFill="1" applyBorder="1" applyAlignment="1">
      <alignment horizontal="right"/>
    </xf>
    <xf numFmtId="3" fontId="0" fillId="0" borderId="13" xfId="0" applyNumberFormat="1" applyFill="1" applyBorder="1"/>
    <xf numFmtId="164" fontId="2" fillId="0" borderId="5" xfId="1" applyNumberFormat="1" applyFont="1" applyFill="1" applyBorder="1" applyAlignment="1">
      <alignment horizontal="right"/>
    </xf>
    <xf numFmtId="164" fontId="1" fillId="0" borderId="5" xfId="1" applyNumberFormat="1" applyFont="1" applyFill="1" applyBorder="1" applyAlignment="1">
      <alignment horizontal="right"/>
    </xf>
    <xf numFmtId="165" fontId="2" fillId="5" borderId="2" xfId="1" applyNumberFormat="1" applyFont="1" applyFill="1" applyBorder="1" applyAlignment="1">
      <alignment horizontal="right"/>
    </xf>
    <xf numFmtId="0" fontId="7" fillId="5" borderId="0" xfId="2" quotePrefix="1" applyFont="1" applyFill="1" applyBorder="1" applyAlignment="1">
      <alignment horizontal="center"/>
    </xf>
    <xf numFmtId="3" fontId="0" fillId="5" borderId="0" xfId="0" applyNumberFormat="1" applyFill="1" applyBorder="1"/>
    <xf numFmtId="3" fontId="0" fillId="5" borderId="12" xfId="0" applyNumberFormat="1" applyFill="1" applyBorder="1"/>
    <xf numFmtId="3" fontId="0" fillId="5" borderId="14" xfId="0" applyNumberFormat="1" applyFill="1" applyBorder="1"/>
    <xf numFmtId="0" fontId="2" fillId="5" borderId="0" xfId="0" applyFont="1" applyFill="1" applyBorder="1" applyAlignment="1">
      <alignment horizontal="center"/>
    </xf>
    <xf numFmtId="0" fontId="4" fillId="5" borderId="0" xfId="0" applyFont="1" applyFill="1" applyBorder="1"/>
    <xf numFmtId="164" fontId="1" fillId="5" borderId="0" xfId="1" applyNumberFormat="1" applyFont="1" applyFill="1" applyBorder="1" applyAlignment="1">
      <alignment horizontal="right"/>
    </xf>
    <xf numFmtId="164" fontId="2" fillId="5" borderId="0" xfId="0" applyNumberFormat="1" applyFont="1" applyFill="1" applyBorder="1"/>
    <xf numFmtId="164" fontId="0" fillId="0" borderId="0" xfId="0" applyNumberFormat="1" applyFill="1"/>
    <xf numFmtId="3" fontId="1" fillId="0" borderId="0" xfId="1" applyNumberFormat="1" applyFont="1" applyFill="1" applyBorder="1" applyAlignment="1">
      <alignment horizontal="right"/>
    </xf>
    <xf numFmtId="0" fontId="0" fillId="0" borderId="0" xfId="0" applyFill="1" applyBorder="1"/>
    <xf numFmtId="3" fontId="1" fillId="0" borderId="1" xfId="1" applyNumberFormat="1" applyFont="1" applyFill="1" applyBorder="1" applyAlignment="1">
      <alignment horizontal="right"/>
    </xf>
    <xf numFmtId="3" fontId="2" fillId="5" borderId="3" xfId="1" applyNumberFormat="1" applyFont="1" applyFill="1" applyBorder="1" applyAlignment="1">
      <alignment horizontal="right"/>
    </xf>
    <xf numFmtId="3" fontId="2" fillId="0" borderId="3" xfId="0" applyNumberFormat="1" applyFont="1" applyFill="1" applyBorder="1" applyAlignment="1">
      <alignment horizontal="right"/>
    </xf>
    <xf numFmtId="0" fontId="7" fillId="0" borderId="0" xfId="2" quotePrefix="1" applyFont="1" applyFill="1" applyBorder="1" applyAlignment="1">
      <alignment horizontal="center"/>
    </xf>
    <xf numFmtId="0" fontId="0" fillId="0" borderId="0" xfId="0" applyFill="1" applyBorder="1" applyAlignment="1">
      <alignment horizontal="center"/>
    </xf>
    <xf numFmtId="3" fontId="0" fillId="0" borderId="0" xfId="0" applyNumberFormat="1" applyFill="1" applyBorder="1"/>
    <xf numFmtId="3" fontId="0" fillId="0" borderId="12" xfId="0" applyNumberFormat="1" applyFill="1" applyBorder="1"/>
    <xf numFmtId="3" fontId="0" fillId="0" borderId="14" xfId="0" applyNumberFormat="1" applyFill="1" applyBorder="1"/>
    <xf numFmtId="3" fontId="2" fillId="5" borderId="0" xfId="1" applyNumberFormat="1" applyFont="1" applyFill="1" applyBorder="1" applyAlignment="1">
      <alignment horizontal="right"/>
    </xf>
    <xf numFmtId="3" fontId="2" fillId="0" borderId="0" xfId="1" applyNumberFormat="1" applyFont="1" applyFill="1" applyBorder="1" applyAlignment="1">
      <alignment horizontal="right"/>
    </xf>
    <xf numFmtId="3" fontId="2" fillId="0" borderId="0" xfId="0" applyNumberFormat="1" applyFont="1" applyFill="1" applyBorder="1" applyAlignment="1">
      <alignment horizontal="right"/>
    </xf>
    <xf numFmtId="3" fontId="2" fillId="5" borderId="0" xfId="0" applyNumberFormat="1" applyFont="1" applyFill="1" applyBorder="1" applyAlignment="1">
      <alignment horizontal="right"/>
    </xf>
    <xf numFmtId="3" fontId="0" fillId="0" borderId="0" xfId="0" applyNumberFormat="1" applyBorder="1" applyAlignment="1">
      <alignment horizontal="right"/>
    </xf>
    <xf numFmtId="165" fontId="2" fillId="0" borderId="0" xfId="1" applyNumberFormat="1" applyFont="1" applyBorder="1" applyAlignment="1">
      <alignment horizontal="right"/>
    </xf>
    <xf numFmtId="3" fontId="0" fillId="0" borderId="0" xfId="0" applyNumberFormat="1" applyBorder="1"/>
    <xf numFmtId="0" fontId="8" fillId="0" borderId="0" xfId="0" applyFont="1" applyFill="1" applyBorder="1"/>
    <xf numFmtId="3" fontId="8" fillId="0" borderId="0" xfId="0" applyNumberFormat="1" applyFont="1"/>
    <xf numFmtId="0" fontId="8" fillId="0" borderId="0" xfId="0" applyFont="1"/>
    <xf numFmtId="0" fontId="8" fillId="0" borderId="0" xfId="0" applyFont="1" applyFill="1"/>
    <xf numFmtId="0" fontId="8" fillId="5" borderId="0" xfId="0" applyFont="1" applyFill="1"/>
    <xf numFmtId="0" fontId="8" fillId="0" borderId="0" xfId="0" applyFont="1" applyBorder="1"/>
    <xf numFmtId="0" fontId="8" fillId="5" borderId="0" xfId="0" applyFont="1" applyFill="1" applyBorder="1"/>
    <xf numFmtId="164" fontId="8" fillId="0" borderId="0" xfId="0" applyNumberFormat="1" applyFont="1"/>
    <xf numFmtId="3" fontId="8" fillId="0" borderId="0" xfId="0" applyNumberFormat="1" applyFont="1" applyBorder="1" applyAlignment="1">
      <alignment horizontal="right"/>
    </xf>
    <xf numFmtId="3" fontId="8" fillId="0" borderId="0" xfId="0" applyNumberFormat="1" applyFont="1" applyBorder="1"/>
    <xf numFmtId="164" fontId="1" fillId="5" borderId="5" xfId="1" applyNumberFormat="1" applyFont="1" applyFill="1" applyBorder="1" applyAlignment="1">
      <alignment horizontal="right"/>
    </xf>
    <xf numFmtId="164" fontId="1" fillId="5" borderId="1" xfId="1" applyNumberFormat="1" applyFont="1" applyFill="1" applyBorder="1" applyAlignment="1">
      <alignment horizontal="right"/>
    </xf>
    <xf numFmtId="164" fontId="2" fillId="5" borderId="5" xfId="1" applyNumberFormat="1" applyFont="1" applyFill="1" applyBorder="1" applyAlignment="1">
      <alignment horizontal="right"/>
    </xf>
    <xf numFmtId="164" fontId="2" fillId="5" borderId="1" xfId="1" applyNumberFormat="1" applyFont="1" applyFill="1" applyBorder="1" applyAlignment="1">
      <alignment horizontal="right"/>
    </xf>
    <xf numFmtId="164" fontId="0" fillId="5" borderId="5" xfId="1" applyNumberFormat="1" applyFont="1" applyFill="1" applyBorder="1" applyAlignment="1">
      <alignment horizontal="right"/>
    </xf>
    <xf numFmtId="164" fontId="0" fillId="5" borderId="1" xfId="1" applyNumberFormat="1" applyFont="1" applyFill="1" applyBorder="1" applyAlignment="1">
      <alignment horizontal="right"/>
    </xf>
    <xf numFmtId="164" fontId="2" fillId="5" borderId="5" xfId="0" applyNumberFormat="1" applyFont="1" applyFill="1" applyBorder="1"/>
    <xf numFmtId="164" fontId="2" fillId="5" borderId="0" xfId="0" applyNumberFormat="1" applyFont="1" applyFill="1"/>
    <xf numFmtId="164" fontId="2" fillId="5" borderId="1" xfId="0" applyNumberFormat="1" applyFont="1" applyFill="1" applyBorder="1"/>
    <xf numFmtId="3" fontId="2" fillId="0" borderId="0" xfId="1" applyNumberFormat="1" applyFont="1" applyBorder="1" applyAlignment="1">
      <alignment horizontal="right"/>
    </xf>
    <xf numFmtId="165" fontId="2" fillId="0" borderId="2" xfId="1" applyNumberFormat="1" applyFont="1" applyFill="1" applyBorder="1" applyAlignment="1">
      <alignment horizontal="right"/>
    </xf>
    <xf numFmtId="3" fontId="8" fillId="0" borderId="0" xfId="0" applyNumberFormat="1" applyFont="1" applyFill="1"/>
    <xf numFmtId="3" fontId="0" fillId="0" borderId="0" xfId="0" applyNumberFormat="1" applyFill="1"/>
    <xf numFmtId="0" fontId="2" fillId="0" borderId="0" xfId="0" applyFont="1" applyFill="1" applyBorder="1" applyAlignment="1">
      <alignment horizontal="center"/>
    </xf>
    <xf numFmtId="0" fontId="4" fillId="0" borderId="0" xfId="0" applyFont="1" applyFill="1" applyBorder="1"/>
    <xf numFmtId="164" fontId="2" fillId="0" borderId="0" xfId="0" applyNumberFormat="1" applyFont="1" applyFill="1" applyBorder="1"/>
    <xf numFmtId="164" fontId="8" fillId="0" borderId="0" xfId="0" applyNumberFormat="1" applyFont="1" applyFill="1"/>
    <xf numFmtId="0" fontId="0" fillId="0" borderId="0" xfId="0" applyFill="1" applyBorder="1" applyAlignment="1">
      <alignment horizontal="right"/>
    </xf>
    <xf numFmtId="0" fontId="0" fillId="0" borderId="2" xfId="0" applyFill="1" applyBorder="1" applyAlignment="1">
      <alignment horizontal="right"/>
    </xf>
    <xf numFmtId="165" fontId="2" fillId="0" borderId="2" xfId="1" applyNumberFormat="1" applyFont="1" applyBorder="1" applyAlignment="1">
      <alignment horizontal="right"/>
    </xf>
    <xf numFmtId="9" fontId="0" fillId="0" borderId="0" xfId="8" applyFont="1"/>
    <xf numFmtId="169" fontId="0" fillId="3" borderId="0" xfId="8" applyNumberFormat="1" applyFont="1" applyFill="1"/>
    <xf numFmtId="0" fontId="2" fillId="2" borderId="0" xfId="0" applyFont="1" applyFill="1"/>
    <xf numFmtId="164" fontId="0" fillId="0" borderId="0" xfId="0" applyNumberFormat="1" applyAlignment="1">
      <alignment horizontal="left"/>
    </xf>
    <xf numFmtId="169" fontId="0" fillId="0" borderId="0" xfId="8" applyNumberFormat="1" applyFont="1" applyFill="1"/>
    <xf numFmtId="164" fontId="0" fillId="0" borderId="0" xfId="1" applyNumberFormat="1" applyFont="1" applyFill="1"/>
    <xf numFmtId="3" fontId="2" fillId="0" borderId="6" xfId="0" applyNumberFormat="1" applyFont="1" applyBorder="1" applyAlignment="1">
      <alignment horizontal="right"/>
    </xf>
    <xf numFmtId="0" fontId="0" fillId="5" borderId="0" xfId="0" applyFont="1" applyFill="1"/>
    <xf numFmtId="168" fontId="0" fillId="5" borderId="0" xfId="0" applyNumberFormat="1" applyFont="1" applyFill="1"/>
    <xf numFmtId="0" fontId="0" fillId="0" borderId="0" xfId="0" applyFont="1"/>
    <xf numFmtId="0" fontId="7" fillId="5" borderId="0" xfId="7" applyFont="1" applyFill="1"/>
    <xf numFmtId="0" fontId="7" fillId="0" borderId="0" xfId="7" applyFont="1"/>
    <xf numFmtId="0" fontId="10" fillId="5" borderId="0" xfId="7" applyFont="1" applyFill="1"/>
    <xf numFmtId="0" fontId="10" fillId="0" borderId="0" xfId="7" applyFont="1"/>
    <xf numFmtId="0" fontId="7" fillId="5" borderId="0" xfId="7" applyFont="1" applyFill="1" applyAlignment="1">
      <alignment wrapText="1"/>
    </xf>
    <xf numFmtId="0" fontId="7" fillId="0" borderId="0" xfId="7" applyFont="1" applyAlignment="1">
      <alignment wrapText="1"/>
    </xf>
    <xf numFmtId="165" fontId="7" fillId="5" borderId="0" xfId="4" applyNumberFormat="1" applyFont="1" applyFill="1" applyBorder="1" applyAlignment="1">
      <alignment horizontal="right"/>
    </xf>
    <xf numFmtId="43" fontId="10" fillId="5" borderId="0" xfId="4" applyFont="1" applyFill="1"/>
    <xf numFmtId="165" fontId="10" fillId="5" borderId="12" xfId="4" applyNumberFormat="1" applyFont="1" applyFill="1" applyBorder="1" applyAlignment="1">
      <alignment horizontal="right" vertical="center"/>
    </xf>
    <xf numFmtId="0" fontId="0" fillId="6" borderId="5" xfId="0" applyFill="1" applyBorder="1" applyAlignment="1">
      <alignment horizontal="center"/>
    </xf>
    <xf numFmtId="0" fontId="0" fillId="6" borderId="6" xfId="0" applyFill="1" applyBorder="1" applyAlignment="1">
      <alignment horizontal="center"/>
    </xf>
    <xf numFmtId="0" fontId="0" fillId="6" borderId="10" xfId="0" applyFill="1" applyBorder="1"/>
    <xf numFmtId="0" fontId="0" fillId="6" borderId="5" xfId="0" applyFill="1" applyBorder="1"/>
    <xf numFmtId="164" fontId="0" fillId="6" borderId="5" xfId="1" applyNumberFormat="1" applyFont="1" applyFill="1" applyBorder="1"/>
    <xf numFmtId="164" fontId="0" fillId="6" borderId="5" xfId="1" applyNumberFormat="1" applyFont="1" applyFill="1" applyBorder="1" applyAlignment="1">
      <alignment horizontal="right"/>
    </xf>
    <xf numFmtId="164" fontId="1" fillId="6" borderId="5" xfId="1" applyNumberFormat="1" applyFont="1" applyFill="1" applyBorder="1"/>
    <xf numFmtId="169" fontId="0" fillId="6" borderId="5" xfId="8" applyNumberFormat="1" applyFont="1" applyFill="1" applyBorder="1"/>
    <xf numFmtId="164" fontId="2" fillId="6" borderId="5" xfId="1" applyNumberFormat="1" applyFont="1" applyFill="1" applyBorder="1"/>
    <xf numFmtId="164" fontId="0" fillId="6" borderId="5" xfId="1" quotePrefix="1" applyNumberFormat="1" applyFont="1" applyFill="1" applyBorder="1"/>
    <xf numFmtId="169" fontId="0" fillId="6" borderId="5" xfId="8" applyNumberFormat="1" applyFont="1" applyFill="1" applyBorder="1" applyAlignment="1">
      <alignment horizontal="right"/>
    </xf>
    <xf numFmtId="0" fontId="7" fillId="6" borderId="5" xfId="2" quotePrefix="1" applyFont="1" applyFill="1" applyBorder="1" applyAlignment="1">
      <alignment horizontal="center"/>
    </xf>
    <xf numFmtId="164" fontId="2" fillId="6" borderId="5" xfId="1" applyNumberFormat="1" applyFont="1" applyFill="1" applyBorder="1" applyAlignment="1">
      <alignment horizontal="right"/>
    </xf>
    <xf numFmtId="164" fontId="1" fillId="6" borderId="5" xfId="1" applyNumberFormat="1" applyFont="1" applyFill="1" applyBorder="1" applyAlignment="1">
      <alignment horizontal="right"/>
    </xf>
    <xf numFmtId="164" fontId="2" fillId="6" borderId="5" xfId="0" applyNumberFormat="1" applyFont="1" applyFill="1" applyBorder="1"/>
    <xf numFmtId="3" fontId="0" fillId="6" borderId="5" xfId="1" applyNumberFormat="1" applyFont="1" applyFill="1" applyBorder="1" applyAlignment="1">
      <alignment horizontal="right"/>
    </xf>
    <xf numFmtId="3" fontId="2" fillId="6" borderId="6" xfId="1" applyNumberFormat="1" applyFont="1" applyFill="1" applyBorder="1" applyAlignment="1">
      <alignment horizontal="right"/>
    </xf>
    <xf numFmtId="3" fontId="0" fillId="6" borderId="5" xfId="0" applyNumberFormat="1" applyFill="1" applyBorder="1"/>
    <xf numFmtId="3" fontId="0" fillId="6" borderId="11" xfId="0" applyNumberFormat="1" applyFill="1" applyBorder="1"/>
    <xf numFmtId="3" fontId="2" fillId="6" borderId="8" xfId="1" applyNumberFormat="1" applyFont="1" applyFill="1" applyBorder="1" applyAlignment="1">
      <alignment horizontal="right"/>
    </xf>
    <xf numFmtId="3" fontId="0" fillId="6" borderId="13" xfId="0" applyNumberFormat="1" applyFill="1" applyBorder="1"/>
    <xf numFmtId="3" fontId="0" fillId="6" borderId="5" xfId="0" applyNumberFormat="1" applyFill="1" applyBorder="1" applyAlignment="1">
      <alignment horizontal="right"/>
    </xf>
    <xf numFmtId="3" fontId="1" fillId="6" borderId="5" xfId="1" applyNumberFormat="1" applyFont="1" applyFill="1" applyBorder="1" applyAlignment="1">
      <alignment horizontal="right"/>
    </xf>
    <xf numFmtId="3" fontId="0" fillId="6" borderId="10" xfId="0" applyNumberFormat="1" applyFill="1" applyBorder="1" applyAlignment="1">
      <alignment horizontal="right"/>
    </xf>
    <xf numFmtId="3" fontId="2" fillId="6" borderId="6" xfId="0" applyNumberFormat="1" applyFont="1" applyFill="1" applyBorder="1" applyAlignment="1">
      <alignment horizontal="right"/>
    </xf>
    <xf numFmtId="41" fontId="0" fillId="6" borderId="5" xfId="1" applyNumberFormat="1" applyFont="1" applyFill="1" applyBorder="1" applyAlignment="1">
      <alignment horizontal="right"/>
    </xf>
    <xf numFmtId="3" fontId="0" fillId="6" borderId="6" xfId="1" applyNumberFormat="1" applyFont="1" applyFill="1" applyBorder="1" applyAlignment="1">
      <alignment horizontal="right"/>
    </xf>
    <xf numFmtId="0" fontId="0" fillId="6" borderId="5" xfId="0" applyFill="1" applyBorder="1" applyAlignment="1">
      <alignment horizontal="right"/>
    </xf>
    <xf numFmtId="2" fontId="0" fillId="6" borderId="5" xfId="0" applyNumberFormat="1" applyFill="1" applyBorder="1" applyAlignment="1">
      <alignment horizontal="right"/>
    </xf>
    <xf numFmtId="2" fontId="0" fillId="6" borderId="6" xfId="0" applyNumberFormat="1" applyFill="1" applyBorder="1" applyAlignment="1">
      <alignment horizontal="right"/>
    </xf>
    <xf numFmtId="164" fontId="2" fillId="6" borderId="5" xfId="0" applyNumberFormat="1" applyFont="1" applyFill="1" applyBorder="1" applyAlignment="1">
      <alignment horizontal="right"/>
    </xf>
    <xf numFmtId="165" fontId="2" fillId="6" borderId="6" xfId="1" applyNumberFormat="1" applyFont="1" applyFill="1" applyBorder="1"/>
    <xf numFmtId="0" fontId="0" fillId="6" borderId="0" xfId="0" applyFill="1" applyAlignment="1">
      <alignment horizontal="right"/>
    </xf>
    <xf numFmtId="0" fontId="0" fillId="6" borderId="2" xfId="0" applyFill="1" applyBorder="1" applyAlignment="1">
      <alignment horizontal="right"/>
    </xf>
    <xf numFmtId="3" fontId="0" fillId="6" borderId="0" xfId="1" applyNumberFormat="1" applyFont="1" applyFill="1" applyBorder="1" applyAlignment="1">
      <alignment horizontal="right"/>
    </xf>
    <xf numFmtId="3" fontId="2" fillId="6" borderId="2" xfId="1" applyNumberFormat="1" applyFont="1" applyFill="1" applyBorder="1" applyAlignment="1">
      <alignment horizontal="right"/>
    </xf>
    <xf numFmtId="3" fontId="0" fillId="6" borderId="0" xfId="0" applyNumberFormat="1" applyFill="1" applyBorder="1" applyAlignment="1">
      <alignment horizontal="right"/>
    </xf>
    <xf numFmtId="3" fontId="1" fillId="6" borderId="0" xfId="1" applyNumberFormat="1" applyFont="1" applyFill="1" applyBorder="1" applyAlignment="1">
      <alignment horizontal="right"/>
    </xf>
    <xf numFmtId="3" fontId="0" fillId="6" borderId="4" xfId="0" applyNumberFormat="1" applyFill="1" applyBorder="1" applyAlignment="1">
      <alignment horizontal="right"/>
    </xf>
    <xf numFmtId="3" fontId="2" fillId="6" borderId="2" xfId="0" applyNumberFormat="1" applyFont="1" applyFill="1" applyBorder="1" applyAlignment="1">
      <alignment horizontal="right"/>
    </xf>
    <xf numFmtId="41" fontId="0" fillId="6" borderId="0" xfId="1" applyNumberFormat="1" applyFont="1" applyFill="1" applyBorder="1" applyAlignment="1">
      <alignment horizontal="right"/>
    </xf>
    <xf numFmtId="3" fontId="0" fillId="6" borderId="2" xfId="1" applyNumberFormat="1" applyFont="1" applyFill="1" applyBorder="1" applyAlignment="1">
      <alignment horizontal="right"/>
    </xf>
    <xf numFmtId="0" fontId="0" fillId="6" borderId="0" xfId="0" applyFill="1" applyBorder="1" applyAlignment="1">
      <alignment horizontal="right"/>
    </xf>
    <xf numFmtId="2" fontId="0" fillId="6" borderId="0" xfId="0" applyNumberFormat="1" applyFill="1" applyBorder="1" applyAlignment="1">
      <alignment horizontal="right"/>
    </xf>
    <xf numFmtId="2" fontId="0" fillId="6" borderId="2" xfId="0" applyNumberFormat="1" applyFill="1" applyBorder="1" applyAlignment="1">
      <alignment horizontal="right"/>
    </xf>
    <xf numFmtId="164" fontId="2" fillId="6" borderId="0" xfId="0" applyNumberFormat="1" applyFont="1" applyFill="1" applyBorder="1" applyAlignment="1">
      <alignment horizontal="right"/>
    </xf>
    <xf numFmtId="164" fontId="2" fillId="6" borderId="0" xfId="1" applyNumberFormat="1" applyFont="1" applyFill="1" applyBorder="1"/>
    <xf numFmtId="165" fontId="2" fillId="6" borderId="2" xfId="1" applyNumberFormat="1" applyFont="1" applyFill="1" applyBorder="1"/>
    <xf numFmtId="0" fontId="10" fillId="5" borderId="0" xfId="7" applyFont="1" applyFill="1" applyAlignment="1">
      <alignment horizontal="left" vertical="center" wrapText="1"/>
    </xf>
    <xf numFmtId="17" fontId="10" fillId="5" borderId="0" xfId="7" applyNumberFormat="1" applyFont="1" applyFill="1" applyAlignment="1">
      <alignment horizontal="center" vertical="center" wrapText="1"/>
    </xf>
    <xf numFmtId="17" fontId="10" fillId="5" borderId="0" xfId="7" applyNumberFormat="1" applyFont="1" applyFill="1" applyAlignment="1">
      <alignment horizontal="center" vertical="center" wrapText="1"/>
    </xf>
    <xf numFmtId="166" fontId="7" fillId="6" borderId="0" xfId="7" applyNumberFormat="1" applyFont="1" applyFill="1" applyAlignment="1">
      <alignment horizontal="right"/>
    </xf>
    <xf numFmtId="165" fontId="7" fillId="6" borderId="0" xfId="4" applyNumberFormat="1" applyFont="1" applyFill="1" applyBorder="1" applyAlignment="1">
      <alignment horizontal="right"/>
    </xf>
    <xf numFmtId="165" fontId="10" fillId="6" borderId="12" xfId="4" applyNumberFormat="1" applyFont="1" applyFill="1" applyBorder="1" applyAlignment="1">
      <alignment horizontal="right" vertical="center"/>
    </xf>
    <xf numFmtId="0" fontId="0" fillId="6" borderId="2" xfId="0" applyFill="1" applyBorder="1" applyAlignment="1">
      <alignment horizontal="center"/>
    </xf>
    <xf numFmtId="0" fontId="0" fillId="0" borderId="1" xfId="0" applyBorder="1"/>
    <xf numFmtId="164" fontId="0" fillId="0" borderId="0" xfId="1" applyNumberFormat="1" applyFont="1" applyBorder="1"/>
    <xf numFmtId="164" fontId="0" fillId="0" borderId="1" xfId="1" applyNumberFormat="1" applyFont="1" applyBorder="1"/>
    <xf numFmtId="164" fontId="1" fillId="0" borderId="0" xfId="1" applyNumberFormat="1" applyFont="1" applyBorder="1"/>
    <xf numFmtId="169" fontId="0" fillId="0" borderId="0" xfId="8" applyNumberFormat="1" applyFont="1" applyFill="1" applyBorder="1"/>
    <xf numFmtId="169" fontId="0" fillId="5" borderId="0" xfId="8" applyNumberFormat="1" applyFont="1" applyFill="1" applyBorder="1"/>
    <xf numFmtId="169" fontId="0" fillId="0" borderId="1" xfId="8" applyNumberFormat="1" applyFont="1" applyFill="1" applyBorder="1"/>
    <xf numFmtId="164" fontId="0" fillId="5" borderId="0" xfId="1" applyNumberFormat="1" applyFont="1" applyFill="1" applyBorder="1"/>
    <xf numFmtId="164" fontId="0" fillId="0" borderId="5" xfId="1" applyNumberFormat="1" applyFont="1" applyBorder="1"/>
    <xf numFmtId="164" fontId="0" fillId="0" borderId="1" xfId="1" applyNumberFormat="1" applyFont="1" applyFill="1" applyBorder="1"/>
    <xf numFmtId="169" fontId="0" fillId="0" borderId="5" xfId="8" applyNumberFormat="1" applyFont="1" applyFill="1" applyBorder="1"/>
    <xf numFmtId="164" fontId="0" fillId="0" borderId="0" xfId="1" applyNumberFormat="1" applyFont="1" applyFill="1" applyBorder="1"/>
    <xf numFmtId="0" fontId="0" fillId="5" borderId="3" xfId="0" applyFill="1" applyBorder="1" applyAlignment="1">
      <alignment horizontal="center"/>
    </xf>
    <xf numFmtId="166" fontId="7" fillId="5" borderId="0" xfId="7" applyNumberFormat="1" applyFont="1" applyFill="1" applyBorder="1" applyAlignment="1">
      <alignment horizontal="right"/>
    </xf>
    <xf numFmtId="166" fontId="7" fillId="5" borderId="1" xfId="7" applyNumberFormat="1" applyFont="1" applyFill="1" applyBorder="1" applyAlignment="1">
      <alignment horizontal="right"/>
    </xf>
    <xf numFmtId="165" fontId="7" fillId="5" borderId="1" xfId="4" applyNumberFormat="1" applyFont="1" applyFill="1" applyBorder="1" applyAlignment="1">
      <alignment horizontal="right"/>
    </xf>
    <xf numFmtId="165" fontId="10" fillId="5" borderId="16" xfId="4" applyNumberFormat="1" applyFont="1" applyFill="1" applyBorder="1" applyAlignment="1">
      <alignment horizontal="right" vertical="center"/>
    </xf>
    <xf numFmtId="166" fontId="7" fillId="5" borderId="5" xfId="7" applyNumberFormat="1" applyFont="1" applyFill="1" applyBorder="1" applyAlignment="1">
      <alignment horizontal="right"/>
    </xf>
    <xf numFmtId="165" fontId="7" fillId="5" borderId="5" xfId="4" applyNumberFormat="1" applyFont="1" applyFill="1" applyBorder="1" applyAlignment="1">
      <alignment horizontal="right"/>
    </xf>
    <xf numFmtId="165" fontId="10" fillId="5" borderId="11" xfId="4" applyNumberFormat="1" applyFont="1" applyFill="1" applyBorder="1" applyAlignment="1">
      <alignment horizontal="right" vertical="center"/>
    </xf>
    <xf numFmtId="0" fontId="10" fillId="5" borderId="1" xfId="7" applyFont="1" applyFill="1" applyBorder="1" applyAlignment="1">
      <alignment horizontal="left"/>
    </xf>
    <xf numFmtId="167" fontId="7" fillId="5" borderId="1" xfId="7" applyNumberFormat="1" applyFont="1" applyFill="1" applyBorder="1" applyAlignment="1">
      <alignment horizontal="left"/>
    </xf>
    <xf numFmtId="0" fontId="10" fillId="5" borderId="16" xfId="7" applyFont="1" applyFill="1" applyBorder="1" applyAlignment="1">
      <alignment horizontal="left" vertical="center"/>
    </xf>
    <xf numFmtId="0" fontId="10" fillId="5" borderId="3" xfId="7" applyFont="1" applyFill="1" applyBorder="1" applyAlignment="1">
      <alignment vertical="center" wrapText="1"/>
    </xf>
  </cellXfs>
  <cellStyles count="9">
    <cellStyle name="Comma" xfId="1" builtinId="3"/>
    <cellStyle name="Comma 10" xfId="4" xr:uid="{A1197E6B-F630-4826-B79A-579F4AF949D9}"/>
    <cellStyle name="Normal" xfId="0" builtinId="0"/>
    <cellStyle name="Normal 196 5" xfId="5" xr:uid="{F144A6DF-2588-4ED2-B12E-06C5A2DC2A4A}"/>
    <cellStyle name="Normal 199" xfId="6" xr:uid="{A1A19A2A-7F4D-4BA2-9064-AFA19D0F3630}"/>
    <cellStyle name="Normal 2" xfId="2" xr:uid="{E96A7485-9344-4F00-835B-BC883844F4B1}"/>
    <cellStyle name="Normal 2 2" xfId="7" xr:uid="{93C6A9AD-0C4F-4AE4-840A-688EDA161CCF}"/>
    <cellStyle name="Normal 5 12" xfId="3" xr:uid="{036FDFB8-1CF7-4A37-B2C7-6E2B843E54F1}"/>
    <cellStyle name="Percent" xfId="8" builtinId="5"/>
  </cellStyles>
  <dxfs count="0"/>
  <tableStyles count="0" defaultTableStyle="TableStyleMedium2" defaultPivotStyle="PivotStyleLight16"/>
  <colors>
    <mruColors>
      <color rgb="FF1D393C"/>
      <color rgb="FFD7E2E1"/>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IFRS 15 Impact Group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'5. IFRS 15'!$A$26</c:f>
              <c:strCache>
                <c:ptCount val="1"/>
                <c:pt idx="0">
                  <c:v>Revenue exl. IFRS 15</c:v>
                </c:pt>
              </c:strCache>
            </c:strRef>
          </c:tx>
          <c:spPr>
            <a:solidFill>
              <a:srgbClr val="78B0B4"/>
            </a:solidFill>
            <a:ln>
              <a:noFill/>
            </a:ln>
            <a:effectLst/>
          </c:spPr>
          <c:invertIfNegative val="0"/>
          <c:cat>
            <c:strRef>
              <c:f>'5. IFRS 15'!$B$23:$R$23</c:f>
              <c:strCache>
                <c:ptCount val="17"/>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pt idx="12">
                  <c:v>Q1 24</c:v>
                </c:pt>
                <c:pt idx="13">
                  <c:v>Q2 24</c:v>
                </c:pt>
                <c:pt idx="14">
                  <c:v>Q3 24</c:v>
                </c:pt>
                <c:pt idx="15">
                  <c:v>Q4 24</c:v>
                </c:pt>
                <c:pt idx="16">
                  <c:v>Q1 25</c:v>
                </c:pt>
              </c:strCache>
            </c:strRef>
          </c:cat>
          <c:val>
            <c:numRef>
              <c:f>'5. IFRS 15'!$B$26:$R$26</c:f>
              <c:numCache>
                <c:formatCode>_-* #\ ##0.0_-;\-* #\ ##0.0_-;_-* "-"??_-;_-@_-</c:formatCode>
                <c:ptCount val="17"/>
                <c:pt idx="0">
                  <c:v>218.85467743995733</c:v>
                </c:pt>
                <c:pt idx="1">
                  <c:v>237.62414070330132</c:v>
                </c:pt>
                <c:pt idx="2">
                  <c:v>214.61265618563894</c:v>
                </c:pt>
                <c:pt idx="3">
                  <c:v>220.60194880231003</c:v>
                </c:pt>
                <c:pt idx="4">
                  <c:v>225.28214346544365</c:v>
                </c:pt>
                <c:pt idx="5">
                  <c:v>255.10907211653102</c:v>
                </c:pt>
                <c:pt idx="6">
                  <c:v>271.68456029333578</c:v>
                </c:pt>
                <c:pt idx="7">
                  <c:v>269.04073208153386</c:v>
                </c:pt>
                <c:pt idx="8">
                  <c:v>273.46761868026317</c:v>
                </c:pt>
                <c:pt idx="9">
                  <c:v>276.37302739623584</c:v>
                </c:pt>
                <c:pt idx="10">
                  <c:v>279.28608910693845</c:v>
                </c:pt>
                <c:pt idx="11">
                  <c:v>297.83350897075951</c:v>
                </c:pt>
                <c:pt idx="12">
                  <c:v>288.16735570345224</c:v>
                </c:pt>
                <c:pt idx="13">
                  <c:v>293.13619898709561</c:v>
                </c:pt>
                <c:pt idx="14">
                  <c:v>291.8875980425459</c:v>
                </c:pt>
                <c:pt idx="15">
                  <c:v>289.28836259577696</c:v>
                </c:pt>
                <c:pt idx="16">
                  <c:v>304.06641873642815</c:v>
                </c:pt>
              </c:numCache>
            </c:numRef>
          </c:val>
          <c:extLst>
            <c:ext xmlns:c16="http://schemas.microsoft.com/office/drawing/2014/chart" uri="{C3380CC4-5D6E-409C-BE32-E72D297353CC}">
              <c16:uniqueId val="{00000000-95ED-4827-86CD-6C4BFF78BA5E}"/>
            </c:ext>
          </c:extLst>
        </c:ser>
        <c:ser>
          <c:idx val="1"/>
          <c:order val="1"/>
          <c:tx>
            <c:strRef>
              <c:f>'5. IFRS 15'!$A$28</c:f>
              <c:strCache>
                <c:ptCount val="1"/>
                <c:pt idx="0">
                  <c:v>Net Sales Revenue (IFRS 15)</c:v>
                </c:pt>
              </c:strCache>
            </c:strRef>
          </c:tx>
          <c:spPr>
            <a:solidFill>
              <a:srgbClr val="18484C"/>
            </a:solidFill>
            <a:ln>
              <a:noFill/>
            </a:ln>
            <a:effectLst/>
          </c:spPr>
          <c:invertIfNegative val="0"/>
          <c:cat>
            <c:strRef>
              <c:f>'5. IFRS 15'!$B$23:$R$23</c:f>
              <c:strCache>
                <c:ptCount val="17"/>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pt idx="12">
                  <c:v>Q1 24</c:v>
                </c:pt>
                <c:pt idx="13">
                  <c:v>Q2 24</c:v>
                </c:pt>
                <c:pt idx="14">
                  <c:v>Q3 24</c:v>
                </c:pt>
                <c:pt idx="15">
                  <c:v>Q4 24</c:v>
                </c:pt>
                <c:pt idx="16">
                  <c:v>Q1 25</c:v>
                </c:pt>
              </c:strCache>
            </c:strRef>
          </c:cat>
          <c:val>
            <c:numRef>
              <c:f>'5. IFRS 15'!$B$28:$R$28</c:f>
              <c:numCache>
                <c:formatCode>_-* #\ ##0.0_-;\-* #\ ##0.0_-;_-* "-"??_-;_-@_-</c:formatCode>
                <c:ptCount val="17"/>
                <c:pt idx="0">
                  <c:v>3.9403687500876501</c:v>
                </c:pt>
                <c:pt idx="1">
                  <c:v>4.4358221252796906</c:v>
                </c:pt>
                <c:pt idx="2">
                  <c:v>1.7008898474051701</c:v>
                </c:pt>
                <c:pt idx="3">
                  <c:v>-5.3592975906751397</c:v>
                </c:pt>
                <c:pt idx="4">
                  <c:v>0.48107566424644022</c:v>
                </c:pt>
                <c:pt idx="5">
                  <c:v>3.4025824966787601</c:v>
                </c:pt>
                <c:pt idx="6">
                  <c:v>0.740042216768239</c:v>
                </c:pt>
                <c:pt idx="7">
                  <c:v>-1.884697996013845</c:v>
                </c:pt>
                <c:pt idx="8">
                  <c:v>9.9259174511198403</c:v>
                </c:pt>
                <c:pt idx="9">
                  <c:v>1.7069074675901603</c:v>
                </c:pt>
                <c:pt idx="10">
                  <c:v>4.2451835552195698</c:v>
                </c:pt>
                <c:pt idx="11">
                  <c:v>-10.650763438730539</c:v>
                </c:pt>
                <c:pt idx="12">
                  <c:v>3.7566972486787309</c:v>
                </c:pt>
                <c:pt idx="13">
                  <c:v>-4.7517556386616304</c:v>
                </c:pt>
                <c:pt idx="14">
                  <c:v>0.9397488040381361</c:v>
                </c:pt>
                <c:pt idx="15">
                  <c:v>-5.8329022869939298</c:v>
                </c:pt>
                <c:pt idx="16">
                  <c:v>6.2550114745028598</c:v>
                </c:pt>
              </c:numCache>
            </c:numRef>
          </c:val>
          <c:extLst>
            <c:ext xmlns:c16="http://schemas.microsoft.com/office/drawing/2014/chart" uri="{C3380CC4-5D6E-409C-BE32-E72D297353CC}">
              <c16:uniqueId val="{00000001-95ED-4827-86CD-6C4BFF78BA5E}"/>
            </c:ext>
          </c:extLst>
        </c:ser>
        <c:dLbls>
          <c:showLegendKey val="0"/>
          <c:showVal val="0"/>
          <c:showCatName val="0"/>
          <c:showSerName val="0"/>
          <c:showPercent val="0"/>
          <c:showBubbleSize val="0"/>
        </c:dLbls>
        <c:gapWidth val="150"/>
        <c:overlap val="100"/>
        <c:axId val="804105648"/>
        <c:axId val="804104208"/>
      </c:barChart>
      <c:catAx>
        <c:axId val="80410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104208"/>
        <c:crosses val="autoZero"/>
        <c:auto val="1"/>
        <c:lblAlgn val="ctr"/>
        <c:lblOffset val="100"/>
        <c:noMultiLvlLbl val="0"/>
      </c:catAx>
      <c:valAx>
        <c:axId val="804104208"/>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10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elopak.com/reports-presentations/"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438150</xdr:colOff>
      <xdr:row>1</xdr:row>
      <xdr:rowOff>180975</xdr:rowOff>
    </xdr:from>
    <xdr:to>
      <xdr:col>3</xdr:col>
      <xdr:colOff>323850</xdr:colOff>
      <xdr:row>3</xdr:row>
      <xdr:rowOff>171450</xdr:rowOff>
    </xdr:to>
    <xdr:pic>
      <xdr:nvPicPr>
        <xdr:cNvPr id="2" name="Picture 1">
          <a:extLst>
            <a:ext uri="{FF2B5EF4-FFF2-40B4-BE49-F238E27FC236}">
              <a16:creationId xmlns:a16="http://schemas.microsoft.com/office/drawing/2014/main" id="{7B0855E0-8EE6-C24D-977D-FCF17CA42D3E}"/>
            </a:ext>
          </a:extLst>
        </xdr:cNvPr>
        <xdr:cNvPicPr>
          <a:picLocks noChangeAspect="1"/>
        </xdr:cNvPicPr>
      </xdr:nvPicPr>
      <xdr:blipFill>
        <a:blip xmlns:r="http://schemas.openxmlformats.org/officeDocument/2006/relationships" r:embed="rId1"/>
        <a:stretch>
          <a:fillRect/>
        </a:stretch>
      </xdr:blipFill>
      <xdr:spPr>
        <a:xfrm>
          <a:off x="438150" y="371475"/>
          <a:ext cx="1714500" cy="371475"/>
        </a:xfrm>
        <a:prstGeom prst="rect">
          <a:avLst/>
        </a:prstGeom>
      </xdr:spPr>
    </xdr:pic>
    <xdr:clientData/>
  </xdr:twoCellAnchor>
  <xdr:oneCellAnchor>
    <xdr:from>
      <xdr:col>0</xdr:col>
      <xdr:colOff>371476</xdr:colOff>
      <xdr:row>7</xdr:row>
      <xdr:rowOff>142875</xdr:rowOff>
    </xdr:from>
    <xdr:ext cx="5219700" cy="3438525"/>
    <xdr:sp macro="" textlink="">
      <xdr:nvSpPr>
        <xdr:cNvPr id="4" name="Shape 3">
          <a:hlinkClick xmlns:r="http://schemas.openxmlformats.org/officeDocument/2006/relationships" r:id="rId2"/>
          <a:extLst>
            <a:ext uri="{FF2B5EF4-FFF2-40B4-BE49-F238E27FC236}">
              <a16:creationId xmlns:a16="http://schemas.microsoft.com/office/drawing/2014/main" id="{0C6C71F4-7BE6-4125-8D3E-4DF6FD2EB3C5}"/>
            </a:ext>
          </a:extLst>
        </xdr:cNvPr>
        <xdr:cNvSpPr txBox="1"/>
      </xdr:nvSpPr>
      <xdr:spPr>
        <a:xfrm>
          <a:off x="371476" y="1476375"/>
          <a:ext cx="5219700" cy="3438525"/>
        </a:xfrm>
        <a:prstGeom prst="rect">
          <a:avLst/>
        </a:prstGeom>
        <a:noFill/>
        <a:ln>
          <a:noFill/>
        </a:ln>
      </xdr:spPr>
      <xdr:txBody>
        <a:bodyPr wrap="square" lIns="91425" tIns="45700" rIns="91425" bIns="45700" anchor="t" anchorCtr="0">
          <a:noAutofit/>
        </a:bodyPr>
        <a:lstStyle/>
        <a:p>
          <a:pPr marL="0" lvl="0" indent="0" algn="l" rtl="0">
            <a:spcBef>
              <a:spcPts val="0"/>
            </a:spcBef>
            <a:spcAft>
              <a:spcPts val="0"/>
            </a:spcAft>
            <a:buClr>
              <a:schemeClr val="accent2"/>
            </a:buClr>
            <a:buSzPts val="2000"/>
            <a:buFont typeface="Arial"/>
            <a:buNone/>
          </a:pPr>
          <a:r>
            <a:rPr lang="en-US" sz="2000" b="0" i="0" u="none">
              <a:solidFill>
                <a:schemeClr val="accent1">
                  <a:lumMod val="50000"/>
                </a:schemeClr>
              </a:solidFill>
              <a:latin typeface="Arial"/>
              <a:ea typeface="Arial"/>
              <a:cs typeface="Arial"/>
              <a:sym typeface="Arial"/>
            </a:rPr>
            <a:t>Financials and analytical info Q1 2025 </a:t>
          </a:r>
          <a:endParaRPr sz="1600" b="0" i="0" u="none">
            <a:solidFill>
              <a:schemeClr val="accent1">
                <a:lumMod val="50000"/>
              </a:schemeClr>
            </a:solidFill>
            <a:latin typeface="Arial"/>
            <a:ea typeface="Arial"/>
            <a:cs typeface="Arial"/>
            <a:sym typeface="Arial"/>
          </a:endParaRPr>
        </a:p>
        <a:p>
          <a:pPr marL="0" lvl="0" indent="0" algn="l" rtl="0">
            <a:spcBef>
              <a:spcPts val="0"/>
            </a:spcBef>
            <a:spcAft>
              <a:spcPts val="0"/>
            </a:spcAft>
            <a:buSzPts val="1400"/>
            <a:buFont typeface="Arial"/>
            <a:buNone/>
          </a:pPr>
          <a:endParaRPr sz="1400" b="0" i="0" u="none">
            <a:solidFill>
              <a:srgbClr val="000000"/>
            </a:solidFill>
            <a:latin typeface="Arial"/>
            <a:ea typeface="Arial"/>
            <a:cs typeface="Arial"/>
            <a:sym typeface="Arial"/>
          </a:endParaRPr>
        </a:p>
        <a:p>
          <a:pPr marL="0" lvl="0" indent="0" algn="l" rtl="0">
            <a:spcBef>
              <a:spcPts val="0"/>
            </a:spcBef>
            <a:spcAft>
              <a:spcPts val="0"/>
            </a:spcAft>
            <a:buClr>
              <a:srgbClr val="000000"/>
            </a:buClr>
            <a:buSzPts val="1400"/>
            <a:buFont typeface="Arial"/>
            <a:buNone/>
          </a:pPr>
          <a:r>
            <a:rPr lang="en-US" sz="1400" b="0" i="0" u="none">
              <a:solidFill>
                <a:srgbClr val="000000"/>
              </a:solidFill>
              <a:latin typeface="Arial"/>
              <a:ea typeface="Arial"/>
              <a:cs typeface="Arial"/>
              <a:sym typeface="Arial"/>
            </a:rPr>
            <a:t>1. </a:t>
          </a:r>
          <a:r>
            <a:rPr lang="nb-NO" sz="1400" b="0" i="0" u="none">
              <a:solidFill>
                <a:srgbClr val="000000"/>
              </a:solidFill>
              <a:latin typeface="Arial"/>
              <a:ea typeface="Arial"/>
              <a:cs typeface="Arial"/>
              <a:sym typeface="Arial"/>
            </a:rPr>
            <a:t>Consolidated statement of  income</a:t>
          </a:r>
          <a:endParaRPr sz="1400"/>
        </a:p>
        <a:p>
          <a:pPr marL="0" lvl="0" indent="0" algn="l" rtl="0">
            <a:spcBef>
              <a:spcPts val="0"/>
            </a:spcBef>
            <a:spcAft>
              <a:spcPts val="0"/>
            </a:spcAft>
            <a:buClr>
              <a:srgbClr val="000000"/>
            </a:buClr>
            <a:buSzPts val="1400"/>
            <a:buFont typeface="Arial"/>
            <a:buNone/>
          </a:pPr>
          <a:r>
            <a:rPr lang="en-US" sz="1400" b="0" i="0" u="none">
              <a:solidFill>
                <a:srgbClr val="000000"/>
              </a:solidFill>
              <a:latin typeface="Arial"/>
              <a:ea typeface="Arial"/>
              <a:cs typeface="Arial"/>
              <a:sym typeface="Arial"/>
            </a:rPr>
            <a:t>2. </a:t>
          </a:r>
          <a:r>
            <a:rPr lang="nb-NO" sz="1400" b="0" i="0" u="none">
              <a:solidFill>
                <a:srgbClr val="000000"/>
              </a:solidFill>
              <a:latin typeface="Arial"/>
              <a:ea typeface="Arial"/>
              <a:cs typeface="Arial"/>
              <a:sym typeface="Arial"/>
            </a:rPr>
            <a:t>Consolidated statement</a:t>
          </a:r>
          <a:r>
            <a:rPr lang="nb-NO" sz="1400" b="0" i="0" u="none" baseline="0">
              <a:solidFill>
                <a:srgbClr val="000000"/>
              </a:solidFill>
              <a:latin typeface="Arial"/>
              <a:ea typeface="Arial"/>
              <a:cs typeface="Arial"/>
              <a:sym typeface="Arial"/>
            </a:rPr>
            <a:t> of financial position</a:t>
          </a:r>
        </a:p>
        <a:p>
          <a:pPr marL="0" lvl="0" indent="0" algn="l" rtl="0">
            <a:spcBef>
              <a:spcPts val="0"/>
            </a:spcBef>
            <a:spcAft>
              <a:spcPts val="0"/>
            </a:spcAft>
            <a:buClr>
              <a:srgbClr val="000000"/>
            </a:buClr>
            <a:buSzPts val="1400"/>
            <a:buFont typeface="Arial"/>
            <a:buNone/>
          </a:pPr>
          <a:r>
            <a:rPr lang="nb-NO" sz="1400" b="0" i="0" u="none" baseline="0">
              <a:solidFill>
                <a:srgbClr val="000000"/>
              </a:solidFill>
              <a:latin typeface="Arial"/>
              <a:cs typeface="Arial"/>
              <a:sym typeface="Arial"/>
            </a:rPr>
            <a:t>3. Consolidated statement of cash flows</a:t>
          </a:r>
        </a:p>
        <a:p>
          <a:pPr marL="0" lvl="0" indent="0" algn="l" rtl="0">
            <a:spcBef>
              <a:spcPts val="0"/>
            </a:spcBef>
            <a:spcAft>
              <a:spcPts val="0"/>
            </a:spcAft>
            <a:buClr>
              <a:srgbClr val="000000"/>
            </a:buClr>
            <a:buSzPts val="1400"/>
            <a:buFont typeface="Arial"/>
            <a:buNone/>
          </a:pPr>
          <a:r>
            <a:rPr lang="nb-NO" sz="1400" b="0" i="0" u="none" baseline="0">
              <a:solidFill>
                <a:srgbClr val="000000"/>
              </a:solidFill>
              <a:latin typeface="Arial"/>
              <a:cs typeface="Arial"/>
              <a:sym typeface="Arial"/>
            </a:rPr>
            <a:t>4. Operating segments</a:t>
          </a:r>
        </a:p>
        <a:p>
          <a:pPr marL="0" lvl="0" indent="0" algn="l" rtl="0">
            <a:spcBef>
              <a:spcPts val="0"/>
            </a:spcBef>
            <a:spcAft>
              <a:spcPts val="0"/>
            </a:spcAft>
            <a:buClr>
              <a:srgbClr val="000000"/>
            </a:buClr>
            <a:buSzPts val="1400"/>
            <a:buFont typeface="Arial"/>
            <a:buNone/>
          </a:pPr>
          <a:r>
            <a:rPr lang="nb-NO" sz="1400" b="0" i="0" u="none" baseline="0">
              <a:solidFill>
                <a:srgbClr val="000000"/>
              </a:solidFill>
              <a:latin typeface="Arial"/>
              <a:cs typeface="Arial"/>
              <a:sym typeface="Arial"/>
            </a:rPr>
            <a:t>5. IFRS 15</a:t>
          </a:r>
          <a:endParaRPr sz="1400"/>
        </a:p>
        <a:p>
          <a:pPr marL="0" lvl="0" indent="0" algn="l" rtl="0">
            <a:spcBef>
              <a:spcPts val="0"/>
            </a:spcBef>
            <a:spcAft>
              <a:spcPts val="0"/>
            </a:spcAft>
            <a:buSzPts val="1400"/>
            <a:buFont typeface="Arial"/>
            <a:buNone/>
          </a:pPr>
          <a:endParaRPr sz="1400" b="1" i="0" u="none">
            <a:solidFill>
              <a:srgbClr val="000000"/>
            </a:solidFill>
            <a:latin typeface="Arial"/>
            <a:ea typeface="Arial"/>
            <a:cs typeface="Arial"/>
            <a:sym typeface="Arial"/>
          </a:endParaRPr>
        </a:p>
        <a:p>
          <a:pPr marL="0" lvl="0" indent="0" algn="l" rtl="0">
            <a:spcBef>
              <a:spcPts val="0"/>
            </a:spcBef>
            <a:spcAft>
              <a:spcPts val="0"/>
            </a:spcAft>
            <a:buClr>
              <a:srgbClr val="000000"/>
            </a:buClr>
            <a:buSzPts val="1400"/>
            <a:buFont typeface="Arial"/>
            <a:buNone/>
          </a:pPr>
          <a:r>
            <a:rPr lang="en-US" sz="1400" b="1" i="0" u="none">
              <a:solidFill>
                <a:srgbClr val="000000"/>
              </a:solidFill>
              <a:latin typeface="Arial"/>
              <a:ea typeface="Arial"/>
              <a:cs typeface="Arial"/>
              <a:sym typeface="Arial"/>
            </a:rPr>
            <a:t>For questions, please contact Elopak IR:</a:t>
          </a:r>
          <a:endParaRPr sz="1400"/>
        </a:p>
        <a:p>
          <a:pPr marL="0" lvl="0" indent="0" algn="l" rtl="0">
            <a:spcBef>
              <a:spcPts val="0"/>
            </a:spcBef>
            <a:spcAft>
              <a:spcPts val="0"/>
            </a:spcAft>
            <a:buSzPts val="300"/>
            <a:buFont typeface="Arial"/>
            <a:buNone/>
          </a:pPr>
          <a:r>
            <a:rPr lang="en-US" sz="1400" b="0" i="0" u="none">
              <a:solidFill>
                <a:srgbClr val="000000"/>
              </a:solidFill>
              <a:latin typeface="Arial"/>
              <a:ea typeface="Arial"/>
              <a:cs typeface="Arial"/>
              <a:sym typeface="Arial"/>
            </a:rPr>
            <a:t>Christian</a:t>
          </a:r>
          <a:r>
            <a:rPr lang="en-US" sz="1400" b="0" i="0" u="none" baseline="0">
              <a:solidFill>
                <a:srgbClr val="000000"/>
              </a:solidFill>
              <a:latin typeface="Arial"/>
              <a:ea typeface="Arial"/>
              <a:cs typeface="Arial"/>
              <a:sym typeface="Arial"/>
            </a:rPr>
            <a:t> Gjerde</a:t>
          </a:r>
          <a:r>
            <a:rPr lang="en-US" sz="1400" b="0" i="0" u="none">
              <a:solidFill>
                <a:srgbClr val="000000"/>
              </a:solidFill>
              <a:latin typeface="Arial"/>
              <a:ea typeface="Arial"/>
              <a:cs typeface="Arial"/>
              <a:sym typeface="Arial"/>
            </a:rPr>
            <a:t>, Head of Investor</a:t>
          </a:r>
          <a:r>
            <a:rPr lang="en-US" sz="1400" b="0" i="0" u="none" baseline="0">
              <a:solidFill>
                <a:srgbClr val="000000"/>
              </a:solidFill>
              <a:latin typeface="Arial"/>
              <a:ea typeface="Arial"/>
              <a:cs typeface="Arial"/>
              <a:sym typeface="Arial"/>
            </a:rPr>
            <a:t> Relations and Treasury</a:t>
          </a:r>
          <a:endParaRPr sz="1400"/>
        </a:p>
        <a:p>
          <a:pPr marL="0" lvl="0" indent="0" algn="l" rtl="0">
            <a:spcBef>
              <a:spcPts val="0"/>
            </a:spcBef>
            <a:spcAft>
              <a:spcPts val="0"/>
            </a:spcAft>
            <a:buClr>
              <a:srgbClr val="000000"/>
            </a:buClr>
            <a:buSzPts val="1400"/>
            <a:buFont typeface="Arial"/>
            <a:buNone/>
          </a:pPr>
          <a:r>
            <a:rPr lang="en-US" sz="1400" b="0" i="0" u="none">
              <a:solidFill>
                <a:srgbClr val="000000"/>
              </a:solidFill>
              <a:latin typeface="Arial"/>
              <a:ea typeface="Arial"/>
              <a:cs typeface="Arial"/>
            </a:rPr>
            <a:t>christian.gjerde@elopak.com</a:t>
          </a:r>
        </a:p>
        <a:p>
          <a:pPr marL="0" lvl="0" indent="0" algn="l" rtl="0">
            <a:spcBef>
              <a:spcPts val="0"/>
            </a:spcBef>
            <a:spcAft>
              <a:spcPts val="0"/>
            </a:spcAft>
            <a:buClr>
              <a:srgbClr val="000000"/>
            </a:buClr>
            <a:buSzPts val="1400"/>
            <a:buFont typeface="Arial"/>
            <a:buNone/>
          </a:pPr>
          <a:r>
            <a:rPr lang="en-US" sz="1400" b="0" i="0" u="none">
              <a:solidFill>
                <a:srgbClr val="000000"/>
              </a:solidFill>
              <a:latin typeface="Arial"/>
              <a:ea typeface="Arial"/>
              <a:cs typeface="Arial"/>
              <a:sym typeface="Arial"/>
            </a:rPr>
            <a:t>+47 980 60 909</a:t>
          </a:r>
        </a:p>
        <a:p>
          <a:pPr marL="0" lvl="0" indent="0" algn="l" rtl="0">
            <a:spcBef>
              <a:spcPts val="0"/>
            </a:spcBef>
            <a:spcAft>
              <a:spcPts val="0"/>
            </a:spcAft>
            <a:buClr>
              <a:srgbClr val="000000"/>
            </a:buClr>
            <a:buSzPts val="1400"/>
            <a:buFont typeface="Arial"/>
            <a:buNone/>
          </a:pPr>
          <a:endParaRPr lang="en-US" sz="1400" b="0" i="0" u="none">
            <a:solidFill>
              <a:srgbClr val="000000"/>
            </a:solidFill>
            <a:latin typeface="Arial" panose="020B0604020202020204" pitchFamily="34" charset="0"/>
            <a:ea typeface="Arial"/>
            <a:cs typeface="Arial" panose="020B0604020202020204" pitchFamily="34" charset="0"/>
            <a:sym typeface="Arial"/>
          </a:endParaRPr>
        </a:p>
        <a:p>
          <a:pPr marL="0" lvl="0" indent="0" algn="l" rtl="0">
            <a:spcBef>
              <a:spcPts val="0"/>
            </a:spcBef>
            <a:spcAft>
              <a:spcPts val="0"/>
            </a:spcAft>
            <a:buClr>
              <a:srgbClr val="000000"/>
            </a:buClr>
            <a:buSzPts val="1400"/>
            <a:buFont typeface="Arial"/>
            <a:buNone/>
          </a:pPr>
          <a:r>
            <a:rPr lang="en-US" sz="1400" b="0" i="0" u="none">
              <a:solidFill>
                <a:srgbClr val="000000"/>
              </a:solidFill>
              <a:latin typeface="Arial"/>
              <a:ea typeface="Arial"/>
              <a:cs typeface="Arial"/>
              <a:sym typeface="Arial"/>
            </a:rPr>
            <a:t>https://www.elopak.com/reports-presentations/ </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28574</xdr:colOff>
      <xdr:row>32</xdr:row>
      <xdr:rowOff>180973</xdr:rowOff>
    </xdr:from>
    <xdr:to>
      <xdr:col>16</xdr:col>
      <xdr:colOff>476250</xdr:colOff>
      <xdr:row>52</xdr:row>
      <xdr:rowOff>180975</xdr:rowOff>
    </xdr:to>
    <xdr:graphicFrame macro="">
      <xdr:nvGraphicFramePr>
        <xdr:cNvPr id="2" name="Chart 1">
          <a:extLst>
            <a:ext uri="{FF2B5EF4-FFF2-40B4-BE49-F238E27FC236}">
              <a16:creationId xmlns:a16="http://schemas.microsoft.com/office/drawing/2014/main" id="{CA49D89E-57CD-45D6-AE47-5B0EB75BE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xdr:colOff>
      <xdr:row>0</xdr:row>
      <xdr:rowOff>95250</xdr:rowOff>
    </xdr:from>
    <xdr:to>
      <xdr:col>17</xdr:col>
      <xdr:colOff>447674</xdr:colOff>
      <xdr:row>18</xdr:row>
      <xdr:rowOff>38099</xdr:rowOff>
    </xdr:to>
    <xdr:sp macro="" textlink="">
      <xdr:nvSpPr>
        <xdr:cNvPr id="3" name="TextBox 2">
          <a:extLst>
            <a:ext uri="{FF2B5EF4-FFF2-40B4-BE49-F238E27FC236}">
              <a16:creationId xmlns:a16="http://schemas.microsoft.com/office/drawing/2014/main" id="{A6B01884-47CD-4974-B916-9E5CCA25132B}"/>
            </a:ext>
          </a:extLst>
        </xdr:cNvPr>
        <xdr:cNvSpPr txBox="1"/>
      </xdr:nvSpPr>
      <xdr:spPr>
        <a:xfrm>
          <a:off x="57149" y="95250"/>
          <a:ext cx="9496425" cy="4133849"/>
        </a:xfrm>
        <a:prstGeom prst="rect">
          <a:avLst/>
        </a:prstGeom>
        <a:solidFill>
          <a:srgbClr val="F8F6F2"/>
        </a:solidFill>
        <a:ln w="57150" cmpd="sng">
          <a:solidFill>
            <a:srgbClr val="18484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u="sng">
              <a:latin typeface="Calibri" panose="020F0502020204030204" pitchFamily="34" charset="0"/>
              <a:ea typeface="Calibri" panose="020F0502020204030204" pitchFamily="34" charset="0"/>
              <a:cs typeface="Calibri" panose="020F0502020204030204" pitchFamily="34" charset="0"/>
            </a:rPr>
            <a:t>What is IFRS 15? </a:t>
          </a:r>
        </a:p>
        <a:p>
          <a:r>
            <a:rPr lang="nb-NO" sz="1100">
              <a:latin typeface="Calibri" panose="020F0502020204030204" pitchFamily="34" charset="0"/>
              <a:ea typeface="Calibri" panose="020F0502020204030204" pitchFamily="34" charset="0"/>
              <a:cs typeface="Calibri" panose="020F0502020204030204" pitchFamily="34" charset="0"/>
            </a:rPr>
            <a:t>The purpose of IFRS 15 is to provide a clear framework for recognizing revenue, ensuring consistency and comparability across industries and markets. The core principle under IFRS 15 is that revenue is recognized when control of goods or services is transferred to the customer and with the amount the company expects to be entitled to in exchange.  Revenue is recognized at point in time or over time, where the concept of control, is crucial to determine when to recognize revenue. According to IFRS 15 the company are to recognize revenue over time if the entity’s performance does not create an asset with an alternative use to the entity, and the entity has an enforceable right to payment for performance completed to date (IFRS 15.35c).</a:t>
          </a:r>
        </a:p>
        <a:p>
          <a:endParaRPr lang="nb-NO" sz="1100">
            <a:latin typeface="Calibri" panose="020F0502020204030204" pitchFamily="34" charset="0"/>
            <a:ea typeface="Calibri" panose="020F0502020204030204" pitchFamily="34" charset="0"/>
            <a:cs typeface="Calibri" panose="020F0502020204030204" pitchFamily="34" charset="0"/>
          </a:endParaRPr>
        </a:p>
        <a:p>
          <a:r>
            <a:rPr lang="nb-NO" sz="1100" b="1" u="sng">
              <a:latin typeface="Calibri" panose="020F0502020204030204" pitchFamily="34" charset="0"/>
              <a:ea typeface="Calibri" panose="020F0502020204030204" pitchFamily="34" charset="0"/>
              <a:cs typeface="Calibri" panose="020F0502020204030204" pitchFamily="34" charset="0"/>
            </a:rPr>
            <a:t>How is IFRS 15 impacting Elopak?</a:t>
          </a:r>
        </a:p>
        <a:p>
          <a:r>
            <a:rPr lang="nb-NO" sz="1100">
              <a:latin typeface="Calibri" panose="020F0502020204030204" pitchFamily="34" charset="0"/>
              <a:ea typeface="Calibri" panose="020F0502020204030204" pitchFamily="34" charset="0"/>
              <a:cs typeface="Calibri" panose="020F0502020204030204" pitchFamily="34" charset="0"/>
            </a:rPr>
            <a:t>Elopak is a global supplier of paper-based packaging system solutions for liquid products. Revenue from contracts with customers is derived from sale of filling equipment, Pure-Pak® carton and Roll Fed packaging material (hereby denominated as cartons), closures and related services. Revenue is recognized when control of the goods or services are transferred to the customer and is presented net of returns, trade discounts, volume rebates and other customer incentives. </a:t>
          </a:r>
        </a:p>
        <a:p>
          <a:r>
            <a:rPr lang="nb-NO" sz="1100">
              <a:latin typeface="Calibri" panose="020F0502020204030204" pitchFamily="34" charset="0"/>
              <a:ea typeface="Calibri" panose="020F0502020204030204" pitchFamily="34" charset="0"/>
              <a:cs typeface="Calibri" panose="020F0502020204030204" pitchFamily="34" charset="0"/>
            </a:rPr>
            <a:t> </a:t>
          </a:r>
        </a:p>
        <a:p>
          <a:r>
            <a:rPr lang="nb-NO" sz="1100">
              <a:latin typeface="Calibri" panose="020F0502020204030204" pitchFamily="34" charset="0"/>
              <a:ea typeface="Calibri" panose="020F0502020204030204" pitchFamily="34" charset="0"/>
              <a:cs typeface="Calibri" panose="020F0502020204030204" pitchFamily="34" charset="0"/>
            </a:rPr>
            <a:t>Generally, Elopak recognizes revenue on a point in time basis when the customer takes title to the goods and rewards for the goods. For goods without alternative use where the Group has a legally enforceable right to payment for the goods, the Group recognizes revenue over time, which generally is, as the goods are produced. Cartons are printed based on customer specifications and are therefore without alternative use. Cancellation provisions in the customer contracts, combined with background law in the legal jurisdictions give the company an enforceable right to payment for work performed to date as described in IFRS 15. Most of the customer contracts include cancellation clauses that give the company sufficient protection to conclude that there is an enforceable right to payment. Closures are not customized and therefore with alternative use and recognized at point in time.</a:t>
          </a:r>
        </a:p>
        <a:p>
          <a:r>
            <a:rPr lang="nb-NO" sz="1100">
              <a:latin typeface="Calibri" panose="020F0502020204030204" pitchFamily="34" charset="0"/>
              <a:ea typeface="Calibri" panose="020F0502020204030204" pitchFamily="34" charset="0"/>
              <a:cs typeface="Calibri" panose="020F0502020204030204" pitchFamily="34" charset="0"/>
            </a:rPr>
            <a:t> </a:t>
          </a:r>
        </a:p>
        <a:p>
          <a:r>
            <a:rPr lang="nb-NO" sz="1100">
              <a:latin typeface="Calibri" panose="020F0502020204030204" pitchFamily="34" charset="0"/>
              <a:ea typeface="Calibri" panose="020F0502020204030204" pitchFamily="34" charset="0"/>
              <a:cs typeface="Calibri" panose="020F0502020204030204" pitchFamily="34" charset="0"/>
            </a:rPr>
            <a:t>The Group recognizes revenue over time for the goods without alternative use where the Group has a legally enforceable right to payment by adjusting for the finished goods in inventory. This gives a positive effect on revenue and EBITDA in times where the inventory level of such goods is increasing and negative effect in times where the inventory level of such goods is decreasing. </a:t>
          </a:r>
        </a:p>
        <a:p>
          <a:r>
            <a:rPr lang="nb-NO" sz="1100">
              <a:latin typeface="Calibri" panose="020F0502020204030204" pitchFamily="34" charset="0"/>
              <a:ea typeface="Calibri" panose="020F0502020204030204" pitchFamily="34" charset="0"/>
              <a:cs typeface="Calibri" panose="020F0502020204030204" pitchFamily="34" charset="0"/>
            </a:rPr>
            <a:t> </a:t>
          </a:r>
        </a:p>
        <a:p>
          <a:r>
            <a:rPr lang="nb-NO" sz="1100">
              <a:latin typeface="Calibri" panose="020F0502020204030204" pitchFamily="34" charset="0"/>
              <a:ea typeface="Calibri" panose="020F0502020204030204" pitchFamily="34" charset="0"/>
              <a:cs typeface="Calibri" panose="020F0502020204030204" pitchFamily="34" charset="0"/>
            </a:rPr>
            <a:t>The table below summarizes the IFRS 15 revenue for each quarter in the</a:t>
          </a:r>
          <a:r>
            <a:rPr lang="nb-NO" sz="1100" baseline="0">
              <a:latin typeface="Calibri" panose="020F0502020204030204" pitchFamily="34" charset="0"/>
              <a:ea typeface="Calibri" panose="020F0502020204030204" pitchFamily="34" charset="0"/>
              <a:cs typeface="Calibri" panose="020F0502020204030204" pitchFamily="34" charset="0"/>
            </a:rPr>
            <a:t> period of 2021 and forwards</a:t>
          </a:r>
          <a:r>
            <a:rPr lang="nb-NO" sz="1100">
              <a:latin typeface="Calibri" panose="020F0502020204030204" pitchFamily="34" charset="0"/>
              <a:ea typeface="Calibri" panose="020F0502020204030204" pitchFamily="34" charset="0"/>
              <a:cs typeface="Calibri" panose="020F0502020204030204" pitchFamily="34" charset="0"/>
            </a:rPr>
            <a:t>, the comparison with total revenues is seen in the graph below the table.   </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11.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74E73-0D33-4BA9-B148-FF1B4F3D8E25}">
  <dimension ref="A1:H14"/>
  <sheetViews>
    <sheetView showGridLines="0" zoomScale="90" zoomScaleNormal="90" workbookViewId="0">
      <selection activeCell="F25" sqref="F25"/>
    </sheetView>
  </sheetViews>
  <sheetFormatPr defaultRowHeight="15" x14ac:dyDescent="0.25"/>
  <cols>
    <col min="3" max="3" width="25.28515625" bestFit="1" customWidth="1"/>
    <col min="5" max="5" width="7" bestFit="1" customWidth="1"/>
    <col min="6" max="6" width="27.140625" bestFit="1" customWidth="1"/>
    <col min="7" max="7" width="18.28515625" bestFit="1" customWidth="1"/>
    <col min="8" max="8" width="9" bestFit="1" customWidth="1"/>
  </cols>
  <sheetData>
    <row r="1" spans="1:8" x14ac:dyDescent="0.25">
      <c r="A1" s="50" t="s">
        <v>0</v>
      </c>
      <c r="B1" s="50"/>
      <c r="C1" s="50" t="s">
        <v>1</v>
      </c>
      <c r="D1" s="50"/>
      <c r="E1" s="50"/>
      <c r="F1" s="50"/>
    </row>
    <row r="2" spans="1:8" x14ac:dyDescent="0.25">
      <c r="A2" s="50" t="s">
        <v>2</v>
      </c>
      <c r="B2" s="50"/>
      <c r="C2" s="50" t="s">
        <v>3</v>
      </c>
      <c r="D2" s="50"/>
      <c r="E2" s="50"/>
      <c r="F2" s="50"/>
    </row>
    <row r="3" spans="1:8" x14ac:dyDescent="0.25">
      <c r="A3" s="50" t="s">
        <v>4</v>
      </c>
      <c r="B3" s="50"/>
      <c r="C3" s="50" t="s">
        <v>5</v>
      </c>
      <c r="D3" s="50"/>
      <c r="E3" s="50"/>
      <c r="F3" s="50"/>
    </row>
    <row r="4" spans="1:8" x14ac:dyDescent="0.25">
      <c r="A4" s="50" t="s">
        <v>6</v>
      </c>
      <c r="B4" s="50"/>
      <c r="C4" s="50" t="s">
        <v>7</v>
      </c>
      <c r="D4" s="50"/>
      <c r="E4" s="50"/>
      <c r="F4" s="50"/>
    </row>
    <row r="5" spans="1:8" x14ac:dyDescent="0.25">
      <c r="A5" s="50" t="s">
        <v>8</v>
      </c>
      <c r="B5" s="50"/>
      <c r="C5" s="50"/>
      <c r="D5" s="50"/>
      <c r="E5" s="50"/>
      <c r="F5" s="50"/>
    </row>
    <row r="6" spans="1:8" x14ac:dyDescent="0.25">
      <c r="A6" s="50" t="s">
        <v>9</v>
      </c>
      <c r="B6" s="50"/>
      <c r="C6" s="50" t="s">
        <v>10</v>
      </c>
      <c r="D6" s="50"/>
      <c r="E6" s="50"/>
      <c r="F6" s="50"/>
    </row>
    <row r="7" spans="1:8" x14ac:dyDescent="0.25">
      <c r="A7" s="50" t="s">
        <v>11</v>
      </c>
      <c r="B7" s="50"/>
      <c r="C7" s="50" t="s">
        <v>12</v>
      </c>
      <c r="D7" s="50"/>
      <c r="E7" s="50"/>
      <c r="F7" s="50" t="s">
        <v>13</v>
      </c>
      <c r="G7" s="50" t="s">
        <v>14</v>
      </c>
      <c r="H7" s="50" t="s">
        <v>15</v>
      </c>
    </row>
    <row r="8" spans="1:8" x14ac:dyDescent="0.25">
      <c r="A8" s="50" t="s">
        <v>16</v>
      </c>
      <c r="B8" s="50"/>
      <c r="C8" s="50"/>
      <c r="D8" s="50"/>
      <c r="E8" s="50"/>
      <c r="F8" s="50"/>
    </row>
    <row r="9" spans="1:8" x14ac:dyDescent="0.25">
      <c r="A9" s="50" t="s">
        <v>17</v>
      </c>
      <c r="B9" s="50"/>
      <c r="C9" s="50" t="s">
        <v>18</v>
      </c>
      <c r="D9" s="50"/>
      <c r="E9" s="50" t="s">
        <v>19</v>
      </c>
      <c r="F9" s="50"/>
    </row>
    <row r="10" spans="1:8" x14ac:dyDescent="0.25">
      <c r="A10" s="50" t="s">
        <v>20</v>
      </c>
      <c r="B10" s="50"/>
      <c r="C10" s="50" t="s">
        <v>21</v>
      </c>
      <c r="D10" s="50"/>
      <c r="E10" s="50" t="s">
        <v>19</v>
      </c>
      <c r="F10" s="50"/>
    </row>
    <row r="11" spans="1:8" x14ac:dyDescent="0.25">
      <c r="A11" s="50" t="s">
        <v>22</v>
      </c>
      <c r="B11" s="50"/>
      <c r="C11" s="50" t="s">
        <v>23</v>
      </c>
      <c r="D11" s="50"/>
      <c r="E11" s="50"/>
      <c r="F11" s="50"/>
    </row>
    <row r="12" spans="1:8" x14ac:dyDescent="0.25">
      <c r="A12" s="50" t="s">
        <v>24</v>
      </c>
      <c r="B12" s="50"/>
      <c r="C12" s="50" t="s">
        <v>25</v>
      </c>
      <c r="D12" s="50"/>
      <c r="E12" s="50"/>
      <c r="F12" s="50"/>
    </row>
    <row r="13" spans="1:8" x14ac:dyDescent="0.25">
      <c r="A13" s="50"/>
      <c r="B13" s="50"/>
      <c r="C13" s="50"/>
      <c r="D13" s="50"/>
      <c r="E13" s="50"/>
      <c r="F13" s="50"/>
    </row>
    <row r="14" spans="1:8" x14ac:dyDescent="0.25">
      <c r="A14" t="s">
        <v>26</v>
      </c>
      <c r="C14" s="9" t="s">
        <v>27</v>
      </c>
    </row>
  </sheetData>
  <dataValidations count="1">
    <dataValidation type="list" allowBlank="1" showInputMessage="1" showErrorMessage="1" sqref="C14" xr:uid="{1B9A5609-F1AF-404A-A8A8-7760B6FB0354}">
      <formula1>"Jan,Feb,Mar,Apr,May,Jun,Jul,Aug,Sep,Oct,Nov,Dec"</formula1>
    </dataValidation>
  </dataValidations>
  <pageMargins left="0.7" right="0.7" top="0.75" bottom="0.75" header="0.3" footer="0.3"/>
  <customProperties>
    <customPr name="_pios_id" r:id="rId1"/>
    <customPr name="WORKBKFUNCTIONCACHE"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EABF1-5B88-4A79-98E6-778E8C135503}">
  <dimension ref="A1"/>
  <sheetViews>
    <sheetView showGridLines="0" tabSelected="1" workbookViewId="0">
      <selection activeCell="O19" sqref="O19"/>
    </sheetView>
  </sheetViews>
  <sheetFormatPr defaultRowHeight="15" x14ac:dyDescent="0.25"/>
  <sheetData/>
  <pageMargins left="0.7" right="0.7" top="0.75" bottom="0.75" header="0.3" footer="0.3"/>
  <customProperties>
    <customPr name="_pios_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68593-50B6-424D-BFA9-887B69FA85A7}">
  <dimension ref="B1:AC57"/>
  <sheetViews>
    <sheetView showGridLines="0" zoomScale="85" zoomScaleNormal="85" workbookViewId="0">
      <selection activeCell="N16" sqref="N16"/>
    </sheetView>
  </sheetViews>
  <sheetFormatPr defaultRowHeight="15" x14ac:dyDescent="0.25"/>
  <cols>
    <col min="2" max="2" width="13.28515625" customWidth="1"/>
    <col min="3" max="3" width="13.28515625" style="52" customWidth="1"/>
    <col min="4" max="7" width="13.28515625" customWidth="1"/>
    <col min="8" max="8" width="13.28515625" style="110" customWidth="1"/>
    <col min="9" max="9" width="13.28515625" style="52" customWidth="1"/>
    <col min="10" max="10" width="13.28515625" style="110" customWidth="1"/>
    <col min="11" max="12" width="15.7109375" style="51" customWidth="1"/>
    <col min="13" max="13" width="12.42578125" style="129" customWidth="1"/>
    <col min="14" max="14" width="13.28515625" style="110" customWidth="1"/>
    <col min="15" max="16" width="15.7109375" style="51" hidden="1" customWidth="1"/>
    <col min="17" max="17" width="12.42578125" style="129" hidden="1" customWidth="1"/>
    <col min="18" max="18" width="4.5703125" customWidth="1"/>
    <col min="19" max="19" width="66.140625" bestFit="1" customWidth="1"/>
    <col min="20" max="20" width="15.7109375" style="5" customWidth="1"/>
    <col min="21" max="21" width="15.7109375" style="129" customWidth="1"/>
    <col min="22" max="22" width="13.28515625" style="114" hidden="1" customWidth="1"/>
    <col min="23" max="23" width="9.140625" style="107"/>
    <col min="26" max="27" width="11.140625" bestFit="1" customWidth="1"/>
  </cols>
  <sheetData>
    <row r="1" spans="2:29" x14ac:dyDescent="0.25">
      <c r="B1" t="s">
        <v>203</v>
      </c>
    </row>
    <row r="2" spans="2:29" x14ac:dyDescent="0.25">
      <c r="D2" s="52"/>
      <c r="E2" s="52"/>
    </row>
    <row r="3" spans="2:29" x14ac:dyDescent="0.25">
      <c r="B3" s="15" t="s">
        <v>28</v>
      </c>
      <c r="C3" s="53" t="s">
        <v>29</v>
      </c>
      <c r="D3" s="15" t="s">
        <v>30</v>
      </c>
      <c r="E3" s="15" t="s">
        <v>31</v>
      </c>
      <c r="F3" s="32" t="s">
        <v>28</v>
      </c>
      <c r="G3" s="15" t="s">
        <v>29</v>
      </c>
      <c r="H3" s="119" t="s">
        <v>30</v>
      </c>
      <c r="I3" s="53" t="s">
        <v>31</v>
      </c>
      <c r="J3" s="162" t="s">
        <v>28</v>
      </c>
      <c r="K3" s="53" t="s">
        <v>29</v>
      </c>
      <c r="L3" s="53" t="s">
        <v>30</v>
      </c>
      <c r="M3" s="119" t="s">
        <v>31</v>
      </c>
      <c r="N3" s="261" t="s">
        <v>28</v>
      </c>
      <c r="O3" s="53" t="s">
        <v>29</v>
      </c>
      <c r="P3" s="53" t="s">
        <v>30</v>
      </c>
      <c r="Q3" s="119" t="s">
        <v>31</v>
      </c>
      <c r="S3" s="20" t="s">
        <v>32</v>
      </c>
      <c r="T3" s="293" t="s">
        <v>33</v>
      </c>
      <c r="U3" s="239" t="s">
        <v>33</v>
      </c>
      <c r="V3" s="114" t="s">
        <v>34</v>
      </c>
    </row>
    <row r="4" spans="2:29" x14ac:dyDescent="0.25">
      <c r="B4" s="16">
        <v>2022</v>
      </c>
      <c r="C4" s="54">
        <v>2022</v>
      </c>
      <c r="D4" s="16">
        <v>2022</v>
      </c>
      <c r="E4" s="16">
        <v>2022</v>
      </c>
      <c r="F4" s="30">
        <v>2023</v>
      </c>
      <c r="G4" s="16">
        <v>2023</v>
      </c>
      <c r="H4" s="118">
        <v>2023</v>
      </c>
      <c r="I4" s="54">
        <v>2023</v>
      </c>
      <c r="J4" s="163">
        <v>2024</v>
      </c>
      <c r="K4" s="54">
        <v>2024</v>
      </c>
      <c r="L4" s="54">
        <v>2024</v>
      </c>
      <c r="M4" s="118">
        <v>2024</v>
      </c>
      <c r="N4" s="262">
        <v>2025</v>
      </c>
      <c r="O4" s="54">
        <v>2025</v>
      </c>
      <c r="P4" s="54">
        <v>2025</v>
      </c>
      <c r="Q4" s="118">
        <v>2025</v>
      </c>
      <c r="R4" s="18"/>
      <c r="S4" s="21" t="s">
        <v>161</v>
      </c>
      <c r="T4" s="294">
        <v>2025</v>
      </c>
      <c r="U4" s="240">
        <v>2024</v>
      </c>
      <c r="V4" s="114">
        <v>2023</v>
      </c>
    </row>
    <row r="5" spans="2:29" ht="7.5" customHeight="1" x14ac:dyDescent="0.25">
      <c r="F5" s="31"/>
      <c r="J5" s="164"/>
      <c r="N5" s="264"/>
      <c r="T5" s="293"/>
      <c r="U5" s="239"/>
    </row>
    <row r="6" spans="2:29" x14ac:dyDescent="0.25">
      <c r="B6" s="72">
        <v>225754.90796348051</v>
      </c>
      <c r="C6" s="72">
        <v>258501.4</v>
      </c>
      <c r="D6" s="72">
        <v>272382.35783389298</v>
      </c>
      <c r="E6" s="73">
        <v>267056.85085060797</v>
      </c>
      <c r="F6" s="74">
        <v>283393.00085926201</v>
      </c>
      <c r="G6" s="72">
        <v>278024.24462361902</v>
      </c>
      <c r="H6" s="120">
        <v>283459.81512154103</v>
      </c>
      <c r="I6" s="72">
        <v>287165.73978868197</v>
      </c>
      <c r="J6" s="150">
        <v>291923.10907786299</v>
      </c>
      <c r="K6" s="72">
        <v>288383.58625378797</v>
      </c>
      <c r="L6" s="72">
        <v>292803.72317170002</v>
      </c>
      <c r="M6" s="120">
        <v>283391.85153806797</v>
      </c>
      <c r="N6" s="276">
        <v>310240.19445190398</v>
      </c>
      <c r="O6" s="72"/>
      <c r="P6" s="72"/>
      <c r="Q6" s="120"/>
      <c r="S6" s="1" t="s">
        <v>35</v>
      </c>
      <c r="T6" s="295">
        <v>310240.19445190398</v>
      </c>
      <c r="U6" s="121">
        <v>291923.10907786299</v>
      </c>
      <c r="V6" s="121">
        <v>1132042.8003931001</v>
      </c>
      <c r="X6" s="59"/>
      <c r="Y6" s="59"/>
      <c r="Z6" s="59"/>
      <c r="AA6" s="59"/>
      <c r="AB6" s="59"/>
      <c r="AC6" s="59"/>
    </row>
    <row r="7" spans="2:29" x14ac:dyDescent="0.25">
      <c r="B7" s="73">
        <v>5.8149566072687202</v>
      </c>
      <c r="C7" s="73">
        <v>10.2187101297275</v>
      </c>
      <c r="D7" s="73">
        <v>42.244676210793301</v>
      </c>
      <c r="E7" s="73">
        <v>99.183234911940104</v>
      </c>
      <c r="F7" s="74">
        <v>0.53527212089174703</v>
      </c>
      <c r="G7" s="73">
        <v>55.690240206231898</v>
      </c>
      <c r="H7" s="120">
        <v>33.457540618012104</v>
      </c>
      <c r="I7" s="72">
        <v>17.005743347032599</v>
      </c>
      <c r="J7" s="150">
        <v>0.94387426806920993</v>
      </c>
      <c r="K7" s="73">
        <v>0.85709464519656897</v>
      </c>
      <c r="L7" s="73">
        <v>23.623674883920298</v>
      </c>
      <c r="M7" s="121">
        <v>63.6087707150486</v>
      </c>
      <c r="N7" s="276">
        <v>81.2357590273255</v>
      </c>
      <c r="O7" s="73"/>
      <c r="P7" s="73"/>
      <c r="Q7" s="121"/>
      <c r="S7" s="1" t="s">
        <v>36</v>
      </c>
      <c r="T7" s="295">
        <v>81.2357590273255</v>
      </c>
      <c r="U7" s="121">
        <v>0.94387426806920993</v>
      </c>
      <c r="V7" s="121">
        <v>144.68879629216801</v>
      </c>
      <c r="X7" s="59"/>
      <c r="Y7" s="59"/>
      <c r="Z7" s="59"/>
      <c r="AA7" s="59"/>
      <c r="AB7" s="59"/>
      <c r="AC7" s="59"/>
    </row>
    <row r="8" spans="2:29" x14ac:dyDescent="0.25">
      <c r="B8" s="75">
        <f t="shared" ref="B8:I8" si="0">SUM(B6:B7)</f>
        <v>225760.72292008778</v>
      </c>
      <c r="C8" s="75">
        <f t="shared" si="0"/>
        <v>258511.61871012973</v>
      </c>
      <c r="D8" s="75">
        <f t="shared" si="0"/>
        <v>272424.60251010378</v>
      </c>
      <c r="E8" s="75">
        <f t="shared" si="0"/>
        <v>267156.0340855199</v>
      </c>
      <c r="F8" s="76">
        <v>283393.53613138292</v>
      </c>
      <c r="G8" s="75">
        <f t="shared" si="0"/>
        <v>278079.93486382527</v>
      </c>
      <c r="H8" s="122">
        <f t="shared" si="0"/>
        <v>283493.27266215906</v>
      </c>
      <c r="I8" s="75">
        <f t="shared" si="0"/>
        <v>287182.74553202902</v>
      </c>
      <c r="J8" s="165">
        <f t="shared" ref="J8:Q8" si="1">SUM(J6:J7)</f>
        <v>291924.05295213108</v>
      </c>
      <c r="K8" s="75">
        <f t="shared" si="1"/>
        <v>288384.44334843318</v>
      </c>
      <c r="L8" s="75">
        <f t="shared" si="1"/>
        <v>292827.34684658394</v>
      </c>
      <c r="M8" s="122">
        <f t="shared" si="1"/>
        <v>283455.46030878305</v>
      </c>
      <c r="N8" s="277">
        <f>SUM(N6:N7)</f>
        <v>310321.43021093128</v>
      </c>
      <c r="O8" s="75">
        <f t="shared" si="1"/>
        <v>0</v>
      </c>
      <c r="P8" s="75">
        <f t="shared" si="1"/>
        <v>0</v>
      </c>
      <c r="Q8" s="122">
        <f t="shared" si="1"/>
        <v>0</v>
      </c>
      <c r="R8" s="18"/>
      <c r="S8" s="22" t="s">
        <v>140</v>
      </c>
      <c r="T8" s="296">
        <f>SUM(T6:T7)</f>
        <v>310321.43021093128</v>
      </c>
      <c r="U8" s="122">
        <v>291924.05295213108</v>
      </c>
      <c r="V8" s="205">
        <f>SUM(V6:V7)</f>
        <v>1132187.4891893922</v>
      </c>
      <c r="X8" s="59"/>
      <c r="Y8" s="59"/>
      <c r="Z8" s="59"/>
      <c r="AA8" s="59"/>
      <c r="AB8" s="59"/>
      <c r="AC8" s="59"/>
    </row>
    <row r="9" spans="2:29" x14ac:dyDescent="0.25">
      <c r="B9" s="77"/>
      <c r="C9" s="77"/>
      <c r="D9" s="77"/>
      <c r="E9" s="77"/>
      <c r="F9" s="78"/>
      <c r="G9" s="77"/>
      <c r="H9" s="130"/>
      <c r="I9" s="77"/>
      <c r="J9" s="166"/>
      <c r="K9" s="77"/>
      <c r="L9" s="77"/>
      <c r="M9" s="130"/>
      <c r="N9" s="282"/>
      <c r="O9" s="77"/>
      <c r="P9" s="77"/>
      <c r="Q9" s="130"/>
      <c r="T9" s="297"/>
      <c r="U9" s="145"/>
      <c r="V9" s="146"/>
      <c r="X9" s="59"/>
      <c r="Y9" s="59"/>
      <c r="Z9" s="59"/>
      <c r="AA9" s="59"/>
      <c r="AB9" s="59"/>
      <c r="AC9" s="59"/>
    </row>
    <row r="10" spans="2:29" x14ac:dyDescent="0.25">
      <c r="B10" s="72">
        <v>-153287.14881709244</v>
      </c>
      <c r="C10" s="72">
        <v>-170232</v>
      </c>
      <c r="D10" s="72">
        <v>-184042.92726276498</v>
      </c>
      <c r="E10" s="73">
        <v>-173911.34216687101</v>
      </c>
      <c r="F10" s="74">
        <v>-182158.46232726</v>
      </c>
      <c r="G10" s="72">
        <v>-174972.54465033201</v>
      </c>
      <c r="H10" s="120">
        <v>-175448.761474914</v>
      </c>
      <c r="I10" s="72">
        <v>-187216.16394416901</v>
      </c>
      <c r="J10" s="150">
        <v>-181657.191862721</v>
      </c>
      <c r="K10" s="72">
        <v>-178440.47351185398</v>
      </c>
      <c r="L10" s="72">
        <v>-184834.66163946301</v>
      </c>
      <c r="M10" s="120">
        <v>-174821.044848955</v>
      </c>
      <c r="N10" s="276">
        <v>-196728.71272311802</v>
      </c>
      <c r="O10" s="72"/>
      <c r="P10" s="72"/>
      <c r="Q10" s="120"/>
      <c r="S10" t="s">
        <v>37</v>
      </c>
      <c r="T10" s="295">
        <v>-196728.71272311802</v>
      </c>
      <c r="U10" s="121">
        <v>-181657.191862721</v>
      </c>
      <c r="V10" s="73">
        <v>-719795.93239667499</v>
      </c>
      <c r="X10" s="59"/>
      <c r="Y10" s="59"/>
      <c r="Z10" s="59"/>
      <c r="AA10" s="59"/>
      <c r="AB10" s="59"/>
      <c r="AC10" s="59"/>
    </row>
    <row r="11" spans="2:29" x14ac:dyDescent="0.25">
      <c r="B11" s="72">
        <v>-42849.304625249315</v>
      </c>
      <c r="C11" s="72">
        <v>-44561</v>
      </c>
      <c r="D11" s="72">
        <v>-44508.661083990097</v>
      </c>
      <c r="E11" s="73">
        <v>-44801.707725070497</v>
      </c>
      <c r="F11" s="74">
        <v>-47054.326560303998</v>
      </c>
      <c r="G11" s="72">
        <v>-47423.539578482203</v>
      </c>
      <c r="H11" s="120">
        <v>-46517.406153616801</v>
      </c>
      <c r="I11" s="72">
        <v>-48627.319659416498</v>
      </c>
      <c r="J11" s="150">
        <v>-49853.6409759616</v>
      </c>
      <c r="K11" s="72">
        <v>-51419.468496087095</v>
      </c>
      <c r="L11" s="72">
        <v>-49820.276077100702</v>
      </c>
      <c r="M11" s="120">
        <v>-52149.224938415398</v>
      </c>
      <c r="N11" s="276">
        <v>-53476.249074081999</v>
      </c>
      <c r="O11" s="72"/>
      <c r="P11" s="72"/>
      <c r="Q11" s="120"/>
      <c r="S11" t="s">
        <v>38</v>
      </c>
      <c r="T11" s="295">
        <v>-53476.249074081999</v>
      </c>
      <c r="U11" s="121">
        <v>-49853.6409759616</v>
      </c>
      <c r="V11" s="73">
        <v>-189622.59195181998</v>
      </c>
      <c r="X11" s="59"/>
      <c r="Y11" s="59"/>
      <c r="Z11" s="59"/>
      <c r="AA11" s="59"/>
      <c r="AB11" s="59"/>
      <c r="AC11" s="59"/>
    </row>
    <row r="12" spans="2:29" x14ac:dyDescent="0.25">
      <c r="B12" s="72">
        <v>-13043.125858218269</v>
      </c>
      <c r="C12" s="72">
        <v>-15994</v>
      </c>
      <c r="D12" s="72">
        <v>-15764.8573704585</v>
      </c>
      <c r="E12" s="73">
        <v>-16722.863722996102</v>
      </c>
      <c r="F12" s="74">
        <v>-15223.119688471601</v>
      </c>
      <c r="G12" s="72">
        <v>-14770.2571034673</v>
      </c>
      <c r="H12" s="120">
        <v>-15658.381195300701</v>
      </c>
      <c r="I12" s="72">
        <v>-14494.747450840001</v>
      </c>
      <c r="J12" s="150">
        <v>-15884.8538773892</v>
      </c>
      <c r="K12" s="72">
        <v>-14916.253080537399</v>
      </c>
      <c r="L12" s="72">
        <v>-16567.498172469001</v>
      </c>
      <c r="M12" s="120">
        <v>-17008.0367569632</v>
      </c>
      <c r="N12" s="276">
        <v>-15895.2033549272</v>
      </c>
      <c r="O12" s="72"/>
      <c r="P12" s="72"/>
      <c r="Q12" s="120"/>
      <c r="S12" t="s">
        <v>141</v>
      </c>
      <c r="T12" s="295">
        <v>-15895.2033549272</v>
      </c>
      <c r="U12" s="121">
        <v>-15884.8538773892</v>
      </c>
      <c r="V12" s="73">
        <v>-60146.505438079497</v>
      </c>
      <c r="X12" s="59"/>
      <c r="Y12" s="59"/>
      <c r="Z12" s="59"/>
      <c r="AA12" s="59"/>
      <c r="AB12" s="59"/>
      <c r="AC12" s="59"/>
    </row>
    <row r="13" spans="2:29" x14ac:dyDescent="0.25">
      <c r="B13" s="73">
        <v>-4255.7619960000411</v>
      </c>
      <c r="C13" s="73">
        <v>354</v>
      </c>
      <c r="D13" s="73">
        <v>-1267</v>
      </c>
      <c r="E13" s="73">
        <v>-1434.2611021181601</v>
      </c>
      <c r="F13" s="74">
        <v>-76.685649999999995</v>
      </c>
      <c r="G13" s="73">
        <v>-91.202029999999993</v>
      </c>
      <c r="H13" s="121">
        <v>-399.54572999999999</v>
      </c>
      <c r="I13" s="73">
        <v>-618.37510999999995</v>
      </c>
      <c r="J13" s="150">
        <v>-159.63697467771001</v>
      </c>
      <c r="K13" s="73">
        <v>-415.12527377104703</v>
      </c>
      <c r="L13" s="73">
        <v>-96.880185371305998</v>
      </c>
      <c r="M13" s="121">
        <v>-1896.6206382575801</v>
      </c>
      <c r="N13" s="276">
        <v>-36.629084644000699</v>
      </c>
      <c r="O13" s="73"/>
      <c r="P13" s="73"/>
      <c r="Q13" s="121"/>
      <c r="S13" t="s">
        <v>40</v>
      </c>
      <c r="T13" s="295">
        <v>-36.629084644000699</v>
      </c>
      <c r="U13" s="121">
        <v>-159.63697467771001</v>
      </c>
      <c r="V13" s="73">
        <v>-1185.80852</v>
      </c>
      <c r="X13" s="59"/>
      <c r="Y13" s="59"/>
      <c r="Z13" s="59"/>
      <c r="AA13" s="59"/>
      <c r="AB13" s="59"/>
      <c r="AC13" s="59"/>
    </row>
    <row r="14" spans="2:29" x14ac:dyDescent="0.25">
      <c r="B14" s="73">
        <v>-14585.844219030972</v>
      </c>
      <c r="C14" s="73">
        <v>-13804</v>
      </c>
      <c r="D14" s="73">
        <v>-13187.4288641889</v>
      </c>
      <c r="E14" s="73">
        <v>-14180.498630460801</v>
      </c>
      <c r="F14" s="74">
        <v>-14223.373557582199</v>
      </c>
      <c r="G14" s="73">
        <v>-15329.1689340376</v>
      </c>
      <c r="H14" s="121">
        <v>-15094</v>
      </c>
      <c r="I14" s="73">
        <v>-13973.5219227616</v>
      </c>
      <c r="J14" s="150">
        <v>-16522.974113115299</v>
      </c>
      <c r="K14" s="73">
        <v>-17377.552246168598</v>
      </c>
      <c r="L14" s="73">
        <v>-14922.399198863801</v>
      </c>
      <c r="M14" s="121">
        <v>-18371.957105976599</v>
      </c>
      <c r="N14" s="276">
        <v>-18003.731812849201</v>
      </c>
      <c r="O14" s="73"/>
      <c r="P14" s="73"/>
      <c r="Q14" s="121"/>
      <c r="S14" t="s">
        <v>39</v>
      </c>
      <c r="T14" s="295">
        <v>-18003.731812849201</v>
      </c>
      <c r="U14" s="121">
        <v>-16522.974113115299</v>
      </c>
      <c r="V14" s="73">
        <v>-58658.175707541101</v>
      </c>
      <c r="X14" s="59"/>
      <c r="Y14" s="59"/>
      <c r="Z14" s="59"/>
      <c r="AA14" s="59"/>
      <c r="AB14" s="59"/>
      <c r="AC14" s="59"/>
    </row>
    <row r="15" spans="2:29" x14ac:dyDescent="0.25">
      <c r="B15" s="75">
        <f t="shared" ref="B15:H15" si="2">SUM(B8:B14)</f>
        <v>-2260.4625955032643</v>
      </c>
      <c r="C15" s="75">
        <f t="shared" si="2"/>
        <v>14274.618710129726</v>
      </c>
      <c r="D15" s="75">
        <f t="shared" si="2"/>
        <v>13653.727928701308</v>
      </c>
      <c r="E15" s="75">
        <f t="shared" si="2"/>
        <v>16105.360738003337</v>
      </c>
      <c r="F15" s="76">
        <v>24657.568347765126</v>
      </c>
      <c r="G15" s="75">
        <f t="shared" si="2"/>
        <v>25493.222567506153</v>
      </c>
      <c r="H15" s="122">
        <f t="shared" si="2"/>
        <v>30375.178108327549</v>
      </c>
      <c r="I15" s="75">
        <f t="shared" ref="I15:Q15" si="3">SUM(I8:I14)</f>
        <v>22252.617444841915</v>
      </c>
      <c r="J15" s="165">
        <f t="shared" si="3"/>
        <v>27845.755148266275</v>
      </c>
      <c r="K15" s="75">
        <f t="shared" si="3"/>
        <v>25815.570740015064</v>
      </c>
      <c r="L15" s="75">
        <f t="shared" si="3"/>
        <v>26585.631573316117</v>
      </c>
      <c r="M15" s="122">
        <f t="shared" si="3"/>
        <v>19208.576020215263</v>
      </c>
      <c r="N15" s="277">
        <f t="shared" si="3"/>
        <v>26180.90416131086</v>
      </c>
      <c r="O15" s="75">
        <f t="shared" si="3"/>
        <v>0</v>
      </c>
      <c r="P15" s="75">
        <f t="shared" si="3"/>
        <v>0</v>
      </c>
      <c r="Q15" s="122">
        <f t="shared" si="3"/>
        <v>0</v>
      </c>
      <c r="R15" s="18"/>
      <c r="S15" s="22" t="s">
        <v>41</v>
      </c>
      <c r="T15" s="296">
        <f>SUM(T8:T14)</f>
        <v>26180.90416131086</v>
      </c>
      <c r="U15" s="122">
        <v>27845.755148266275</v>
      </c>
      <c r="V15" s="205">
        <f>SUM(V8:V14)</f>
        <v>102778.47517527662</v>
      </c>
      <c r="X15" s="59"/>
      <c r="Y15" s="59"/>
      <c r="Z15" s="59"/>
      <c r="AA15" s="59"/>
      <c r="AB15" s="59"/>
      <c r="AC15" s="59"/>
    </row>
    <row r="16" spans="2:29" x14ac:dyDescent="0.25">
      <c r="B16" s="77"/>
      <c r="C16" s="77"/>
      <c r="D16" s="77"/>
      <c r="E16" s="77"/>
      <c r="F16" s="78"/>
      <c r="G16" s="77"/>
      <c r="H16" s="130"/>
      <c r="I16" s="77"/>
      <c r="J16" s="166"/>
      <c r="K16" s="77"/>
      <c r="L16" s="77"/>
      <c r="M16" s="130"/>
      <c r="N16" s="282"/>
      <c r="O16" s="77"/>
      <c r="P16" s="77"/>
      <c r="Q16" s="130"/>
      <c r="T16" s="297"/>
      <c r="U16" s="145"/>
      <c r="V16" s="146"/>
      <c r="X16" s="59"/>
      <c r="Y16" s="59"/>
      <c r="Z16" s="59"/>
      <c r="AA16" s="59"/>
      <c r="AB16" s="59"/>
      <c r="AC16" s="59"/>
    </row>
    <row r="17" spans="2:29" x14ac:dyDescent="0.25">
      <c r="B17" s="81">
        <v>-33.708470056180431</v>
      </c>
      <c r="C17" s="81">
        <v>-129.97900000000072</v>
      </c>
      <c r="D17" s="81">
        <v>314.4386599999998</v>
      </c>
      <c r="E17" s="82">
        <v>978.35001012618159</v>
      </c>
      <c r="F17" s="167">
        <v>679.73971362069597</v>
      </c>
      <c r="G17" s="131">
        <v>3718.4350933329397</v>
      </c>
      <c r="H17" s="131">
        <v>2685.6185028216105</v>
      </c>
      <c r="I17" s="131">
        <v>723.31831679854395</v>
      </c>
      <c r="J17" s="167">
        <v>2353.8873684131368</v>
      </c>
      <c r="K17" s="72">
        <v>3676.4853186178188</v>
      </c>
      <c r="L17" s="72">
        <v>5614.0742955161704</v>
      </c>
      <c r="M17" s="120">
        <v>6646.6537184750205</v>
      </c>
      <c r="N17" s="283">
        <v>6113.5998740579998</v>
      </c>
      <c r="O17" s="72"/>
      <c r="P17" s="72"/>
      <c r="Q17" s="120"/>
      <c r="S17" t="s">
        <v>43</v>
      </c>
      <c r="T17" s="298">
        <v>6113.5998740579998</v>
      </c>
      <c r="U17" s="195">
        <v>2353.8873684131368</v>
      </c>
      <c r="V17" s="82">
        <v>7807.1116265737901</v>
      </c>
      <c r="X17" s="59"/>
      <c r="Y17" s="59"/>
      <c r="Z17" s="59"/>
      <c r="AA17" s="59"/>
      <c r="AB17" s="59"/>
      <c r="AC17" s="59"/>
    </row>
    <row r="18" spans="2:29" x14ac:dyDescent="0.25">
      <c r="B18" s="72">
        <v>-3008.1022853587942</v>
      </c>
      <c r="C18" s="72">
        <v>-3164</v>
      </c>
      <c r="D18" s="72">
        <v>-2059</v>
      </c>
      <c r="E18" s="73">
        <v>-4802.0626415270399</v>
      </c>
      <c r="F18" s="167">
        <v>-7174.6771253004463</v>
      </c>
      <c r="G18" s="120">
        <v>-6257.9496671819415</v>
      </c>
      <c r="H18" s="120">
        <v>-7712.9753373001095</v>
      </c>
      <c r="I18" s="131">
        <v>-5399.8759504756017</v>
      </c>
      <c r="J18" s="150">
        <v>-7331.0417361355203</v>
      </c>
      <c r="K18" s="72">
        <v>-7383.9094812203957</v>
      </c>
      <c r="L18" s="72">
        <v>-11497.633701929799</v>
      </c>
      <c r="M18" s="120">
        <v>-12368.013169416299</v>
      </c>
      <c r="N18" s="276">
        <v>-11733.575575067771</v>
      </c>
      <c r="O18" s="72"/>
      <c r="P18" s="72"/>
      <c r="Q18" s="120"/>
      <c r="S18" t="s">
        <v>44</v>
      </c>
      <c r="T18" s="295">
        <v>-11733.575575067771</v>
      </c>
      <c r="U18" s="121">
        <v>-7331.0417361355203</v>
      </c>
      <c r="V18" s="73">
        <v>-26545.478080258101</v>
      </c>
      <c r="X18" s="59"/>
      <c r="Y18" s="59"/>
      <c r="Z18" s="59"/>
      <c r="AA18" s="59"/>
      <c r="AB18" s="59"/>
      <c r="AC18" s="59"/>
    </row>
    <row r="19" spans="2:29" x14ac:dyDescent="0.25">
      <c r="B19" s="73">
        <v>1140.064398248137</v>
      </c>
      <c r="C19" s="73">
        <v>-1196</v>
      </c>
      <c r="D19" s="73">
        <v>1150.1131819937002</v>
      </c>
      <c r="E19" s="73">
        <v>2192.4115544289202</v>
      </c>
      <c r="F19" s="167">
        <v>-409.23677280449334</v>
      </c>
      <c r="G19" s="121">
        <v>428.958679941485</v>
      </c>
      <c r="H19" s="121">
        <v>-494.13182149270602</v>
      </c>
      <c r="I19" s="131">
        <v>-23.503617123280602</v>
      </c>
      <c r="J19" s="150">
        <v>387.78291285870398</v>
      </c>
      <c r="K19" s="73">
        <v>-2780.9993975088087</v>
      </c>
      <c r="L19" s="73">
        <v>4229.1025065747799</v>
      </c>
      <c r="M19" s="121">
        <v>4972.79851755659</v>
      </c>
      <c r="N19" s="276">
        <v>-10118.799366868701</v>
      </c>
      <c r="O19" s="73"/>
      <c r="P19" s="73"/>
      <c r="Q19" s="121"/>
      <c r="S19" t="s">
        <v>45</v>
      </c>
      <c r="T19" s="295">
        <v>-10118.799366868701</v>
      </c>
      <c r="U19" s="121">
        <v>387.78291285870398</v>
      </c>
      <c r="V19" s="73">
        <v>-497.91353147899497</v>
      </c>
      <c r="X19" s="59"/>
      <c r="Y19" s="59"/>
      <c r="Z19" s="59"/>
      <c r="AA19" s="59"/>
      <c r="AB19" s="59"/>
      <c r="AC19" s="59"/>
    </row>
    <row r="20" spans="2:29" x14ac:dyDescent="0.25">
      <c r="B20" s="121">
        <v>3485.5877600000003</v>
      </c>
      <c r="C20" s="121">
        <v>2417.3790000000008</v>
      </c>
      <c r="D20" s="121">
        <v>2754.5613400000002</v>
      </c>
      <c r="E20" s="121">
        <v>216.36771999999837</v>
      </c>
      <c r="F20" s="167">
        <v>-636.93631999999889</v>
      </c>
      <c r="G20" s="121">
        <v>135.76624000000001</v>
      </c>
      <c r="H20" s="121">
        <v>-21.85951</v>
      </c>
      <c r="I20" s="131">
        <v>-4995.0306200000005</v>
      </c>
      <c r="J20" s="150">
        <v>629.17282999999998</v>
      </c>
      <c r="K20" s="73">
        <v>3274.8587599999996</v>
      </c>
      <c r="L20" s="73">
        <v>-9862.7419100000006</v>
      </c>
      <c r="M20" s="121">
        <v>-959.41469999999981</v>
      </c>
      <c r="N20" s="276">
        <v>9435.6297599999998</v>
      </c>
      <c r="O20" s="73"/>
      <c r="P20" s="73"/>
      <c r="Q20" s="121"/>
      <c r="S20" s="52" t="s">
        <v>162</v>
      </c>
      <c r="T20" s="295">
        <v>9435.6297599999998</v>
      </c>
      <c r="U20" s="121">
        <v>629.17282999999998</v>
      </c>
      <c r="V20" s="73">
        <v>-5518.0602099999996</v>
      </c>
      <c r="X20" s="59"/>
      <c r="Y20" s="59"/>
      <c r="Z20" s="59"/>
      <c r="AA20" s="59"/>
      <c r="AB20" s="59"/>
      <c r="AC20" s="59"/>
    </row>
    <row r="21" spans="2:29" x14ac:dyDescent="0.25">
      <c r="B21" s="75">
        <f t="shared" ref="B21:K21" si="4">SUM(B17:B20)</f>
        <v>1583.8414028331626</v>
      </c>
      <c r="C21" s="75">
        <f t="shared" si="4"/>
        <v>-2072.6000000000004</v>
      </c>
      <c r="D21" s="75">
        <f t="shared" si="4"/>
        <v>2160.1131819937</v>
      </c>
      <c r="E21" s="75">
        <f t="shared" si="4"/>
        <v>-1414.9333569719397</v>
      </c>
      <c r="F21" s="165">
        <v>-7541.1105044842425</v>
      </c>
      <c r="G21" s="122">
        <f t="shared" si="4"/>
        <v>-1974.7896539075168</v>
      </c>
      <c r="H21" s="122">
        <f t="shared" si="4"/>
        <v>-5543.3481659712052</v>
      </c>
      <c r="I21" s="122">
        <f t="shared" si="4"/>
        <v>-9695.0918708003373</v>
      </c>
      <c r="J21" s="76">
        <f t="shared" si="4"/>
        <v>-3960.1986248636799</v>
      </c>
      <c r="K21" s="75">
        <f t="shared" si="4"/>
        <v>-3213.5648001113855</v>
      </c>
      <c r="L21" s="75">
        <f>+SUM(L17:L20)</f>
        <v>-11517.19880983885</v>
      </c>
      <c r="M21" s="122">
        <f>+SUM(M17:M20)</f>
        <v>-1707.9756333846885</v>
      </c>
      <c r="N21" s="277">
        <f t="shared" ref="N21:O21" si="5">SUM(N17:N20)</f>
        <v>-6303.1453078784725</v>
      </c>
      <c r="O21" s="75">
        <f t="shared" si="5"/>
        <v>0</v>
      </c>
      <c r="P21" s="75">
        <f>+SUM(P17:P20)</f>
        <v>0</v>
      </c>
      <c r="Q21" s="122">
        <f>+SUM(Q17:Q20)</f>
        <v>0</v>
      </c>
      <c r="R21" s="18"/>
      <c r="S21" s="22" t="s">
        <v>163</v>
      </c>
      <c r="T21" s="296">
        <f>+SUM(T17:T20)</f>
        <v>-6303.1453078784725</v>
      </c>
      <c r="U21" s="75">
        <v>-3960.1986248636799</v>
      </c>
      <c r="V21" s="206">
        <f>+SUM(V17:V20)</f>
        <v>-24754.340195163306</v>
      </c>
      <c r="X21" s="59"/>
      <c r="Y21" s="59"/>
      <c r="Z21" s="59"/>
      <c r="AA21" s="59"/>
      <c r="AB21" s="59"/>
      <c r="AC21" s="59"/>
    </row>
    <row r="22" spans="2:29" x14ac:dyDescent="0.25">
      <c r="B22" s="83"/>
      <c r="C22" s="83"/>
      <c r="D22" s="83"/>
      <c r="E22" s="83"/>
      <c r="F22" s="84"/>
      <c r="G22" s="83"/>
      <c r="H22" s="132"/>
      <c r="I22" s="83"/>
      <c r="J22" s="168"/>
      <c r="K22" s="83"/>
      <c r="L22" s="83"/>
      <c r="M22" s="132"/>
      <c r="N22" s="284"/>
      <c r="O22" s="83"/>
      <c r="P22" s="83"/>
      <c r="Q22" s="132"/>
      <c r="R22" s="24"/>
      <c r="S22" s="24"/>
      <c r="T22" s="299"/>
      <c r="U22" s="132"/>
      <c r="V22" s="146"/>
      <c r="X22" s="59"/>
      <c r="Y22" s="59"/>
      <c r="Z22" s="59"/>
      <c r="AA22" s="59"/>
      <c r="AB22" s="59"/>
      <c r="AC22" s="59"/>
    </row>
    <row r="23" spans="2:29" s="110" customFormat="1" x14ac:dyDescent="0.25">
      <c r="B23" s="195">
        <v>911.99540302209607</v>
      </c>
      <c r="C23" s="195">
        <v>1020.38083255356</v>
      </c>
      <c r="D23" s="195">
        <v>1455.11817062878</v>
      </c>
      <c r="E23" s="195">
        <v>990.64990428669603</v>
      </c>
      <c r="F23" s="167">
        <v>1012.35642166327</v>
      </c>
      <c r="G23" s="195">
        <v>1196.02208733929</v>
      </c>
      <c r="H23" s="195">
        <v>1893.9359476126399</v>
      </c>
      <c r="I23" s="197">
        <v>2753.1632749672603</v>
      </c>
      <c r="J23" s="195">
        <v>2248.2309276531701</v>
      </c>
      <c r="K23" s="121">
        <v>2605.23423656564</v>
      </c>
      <c r="L23" s="121">
        <v>2127.1276404181003</v>
      </c>
      <c r="M23" s="121">
        <v>2715.5973558339902</v>
      </c>
      <c r="N23" s="283">
        <v>2535.1675210921203</v>
      </c>
      <c r="O23" s="121"/>
      <c r="P23" s="121"/>
      <c r="Q23" s="121"/>
      <c r="R23" s="196"/>
      <c r="S23" s="196" t="s">
        <v>42</v>
      </c>
      <c r="T23" s="298">
        <v>2535.1675210921203</v>
      </c>
      <c r="U23" s="195">
        <v>2248.2309276531701</v>
      </c>
      <c r="V23" s="195">
        <v>6855.4777315824604</v>
      </c>
      <c r="W23" s="196"/>
      <c r="X23" s="59"/>
      <c r="Y23" s="59"/>
      <c r="Z23" s="194"/>
      <c r="AA23" s="194"/>
      <c r="AB23" s="194"/>
      <c r="AC23" s="194"/>
    </row>
    <row r="24" spans="2:29" s="2" customFormat="1" x14ac:dyDescent="0.25">
      <c r="B24" s="133">
        <f t="shared" ref="B24:K24" si="6">SUM(B15,B21,B23)</f>
        <v>235.37421035199441</v>
      </c>
      <c r="C24" s="133">
        <f t="shared" si="6"/>
        <v>13222.399542683284</v>
      </c>
      <c r="D24" s="133">
        <f t="shared" si="6"/>
        <v>17268.959281323787</v>
      </c>
      <c r="E24" s="133">
        <f t="shared" si="6"/>
        <v>15681.077285318093</v>
      </c>
      <c r="F24" s="248">
        <v>18128.814264944154</v>
      </c>
      <c r="G24" s="133">
        <f t="shared" si="6"/>
        <v>24714.455000937927</v>
      </c>
      <c r="H24" s="133">
        <f t="shared" si="6"/>
        <v>26725.765889968985</v>
      </c>
      <c r="I24" s="199">
        <f t="shared" si="6"/>
        <v>15310.688849008839</v>
      </c>
      <c r="J24" s="133">
        <f t="shared" si="6"/>
        <v>26133.787451055767</v>
      </c>
      <c r="K24" s="133">
        <f t="shared" si="6"/>
        <v>25207.24017646932</v>
      </c>
      <c r="L24" s="133">
        <f>SUM(L15,L21,L23)</f>
        <v>17195.560403895368</v>
      </c>
      <c r="M24" s="133">
        <f>SUM(M15,M21,M23)</f>
        <v>20216.197742664564</v>
      </c>
      <c r="N24" s="285">
        <f t="shared" ref="N24:O24" si="7">SUM(N15,N21,N23)</f>
        <v>22412.926374524508</v>
      </c>
      <c r="O24" s="133">
        <f t="shared" si="7"/>
        <v>0</v>
      </c>
      <c r="P24" s="133">
        <f>SUM(P15,P21,P23)</f>
        <v>0</v>
      </c>
      <c r="Q24" s="133">
        <f>SUM(Q15,Q21,Q23)</f>
        <v>0</v>
      </c>
      <c r="R24" s="22"/>
      <c r="S24" s="22" t="s">
        <v>144</v>
      </c>
      <c r="T24" s="300">
        <f>SUM(T15,T21,T23)</f>
        <v>22412.926374524508</v>
      </c>
      <c r="U24" s="133">
        <v>26133.787451055767</v>
      </c>
      <c r="V24" s="207">
        <f>SUM(V15,V21,V23)</f>
        <v>84879.612711695765</v>
      </c>
      <c r="W24" s="109"/>
      <c r="X24" s="59"/>
      <c r="Y24" s="59"/>
      <c r="Z24" s="47"/>
      <c r="AA24" s="47"/>
      <c r="AB24" s="47"/>
      <c r="AC24" s="47"/>
    </row>
    <row r="25" spans="2:29" x14ac:dyDescent="0.25">
      <c r="B25" s="77"/>
      <c r="C25" s="77"/>
      <c r="D25" s="77"/>
      <c r="E25" s="77"/>
      <c r="F25" s="78"/>
      <c r="G25" s="146"/>
      <c r="H25" s="145"/>
      <c r="I25" s="146"/>
      <c r="J25" s="166"/>
      <c r="K25" s="77"/>
      <c r="L25" s="77"/>
      <c r="M25" s="130"/>
      <c r="N25" s="282"/>
      <c r="O25" s="77"/>
      <c r="P25" s="77"/>
      <c r="Q25" s="130"/>
      <c r="T25" s="297"/>
      <c r="U25" s="145"/>
      <c r="V25" s="146"/>
      <c r="X25" s="59"/>
      <c r="Y25" s="59"/>
      <c r="Z25" s="59"/>
      <c r="AA25" s="59"/>
      <c r="AB25" s="59"/>
      <c r="AC25" s="59"/>
    </row>
    <row r="26" spans="2:29" x14ac:dyDescent="0.25">
      <c r="B26" s="73">
        <v>-2742.6168490310079</v>
      </c>
      <c r="C26" s="73">
        <v>-917</v>
      </c>
      <c r="D26" s="73">
        <v>-4067.14110759918</v>
      </c>
      <c r="E26" s="73">
        <v>-4461.2173458198195</v>
      </c>
      <c r="F26" s="74">
        <v>-1947.3844341233</v>
      </c>
      <c r="G26" s="73">
        <v>-4375.1221719536998</v>
      </c>
      <c r="H26" s="121">
        <v>-7348.0080696692503</v>
      </c>
      <c r="I26" s="73">
        <v>-1842.9419442969199</v>
      </c>
      <c r="J26" s="150">
        <v>-4293.5198248226106</v>
      </c>
      <c r="K26" s="73">
        <v>-8560.5201621213291</v>
      </c>
      <c r="L26" s="73">
        <v>-1639.0767812956799</v>
      </c>
      <c r="M26" s="121">
        <v>-12710.1149295256</v>
      </c>
      <c r="N26" s="276">
        <v>-5127.9199390553194</v>
      </c>
      <c r="O26" s="73"/>
      <c r="P26" s="73"/>
      <c r="Q26" s="121"/>
      <c r="S26" t="s">
        <v>46</v>
      </c>
      <c r="T26" s="295">
        <v>-5127.9199390553194</v>
      </c>
      <c r="U26" s="121">
        <v>-4293.5198248226106</v>
      </c>
      <c r="V26" s="73">
        <v>-15513.4566200432</v>
      </c>
      <c r="X26" s="59"/>
      <c r="Y26" s="59"/>
      <c r="Z26" s="59"/>
      <c r="AA26" s="59"/>
      <c r="AB26" s="59"/>
      <c r="AC26" s="59"/>
    </row>
    <row r="27" spans="2:29" x14ac:dyDescent="0.25">
      <c r="B27" s="75">
        <f t="shared" ref="B27:L27" si="8">+SUM(B24:B26)</f>
        <v>-2507.2426386790135</v>
      </c>
      <c r="C27" s="75">
        <f t="shared" si="8"/>
        <v>12305.399542683284</v>
      </c>
      <c r="D27" s="75">
        <f t="shared" si="8"/>
        <v>13201.818173724607</v>
      </c>
      <c r="E27" s="75">
        <f t="shared" si="8"/>
        <v>11219.859939498274</v>
      </c>
      <c r="F27" s="76">
        <v>16181.429830820854</v>
      </c>
      <c r="G27" s="75">
        <f t="shared" si="8"/>
        <v>20339.332828984228</v>
      </c>
      <c r="H27" s="75">
        <f t="shared" si="8"/>
        <v>19377.757820299736</v>
      </c>
      <c r="I27" s="198">
        <f t="shared" si="8"/>
        <v>13467.746904711919</v>
      </c>
      <c r="J27" s="75">
        <f t="shared" si="8"/>
        <v>21840.267626233155</v>
      </c>
      <c r="K27" s="75">
        <f t="shared" si="8"/>
        <v>16646.720014347993</v>
      </c>
      <c r="L27" s="75">
        <f t="shared" si="8"/>
        <v>15556.483622599688</v>
      </c>
      <c r="M27" s="122">
        <f t="shared" ref="M27" si="9">+SUM(M24:M26)</f>
        <v>7506.0828131389644</v>
      </c>
      <c r="N27" s="277">
        <f t="shared" ref="N27:P27" si="10">+SUM(N24:N26)</f>
        <v>17285.006435469189</v>
      </c>
      <c r="O27" s="75">
        <f t="shared" si="10"/>
        <v>0</v>
      </c>
      <c r="P27" s="75">
        <f t="shared" si="10"/>
        <v>0</v>
      </c>
      <c r="Q27" s="122">
        <f t="shared" ref="Q27" si="11">+SUM(Q24:Q26)</f>
        <v>0</v>
      </c>
      <c r="R27" s="18"/>
      <c r="S27" s="22" t="s">
        <v>143</v>
      </c>
      <c r="T27" s="296">
        <f>+SUM(T24:T26)</f>
        <v>17285.006435469189</v>
      </c>
      <c r="U27" s="75">
        <v>21840.267626233155</v>
      </c>
      <c r="V27" s="205">
        <f>+SUM(V24:V26)</f>
        <v>69366.156091652563</v>
      </c>
      <c r="X27" s="59"/>
      <c r="Y27" s="59"/>
      <c r="Z27" s="59"/>
      <c r="AA27" s="59"/>
      <c r="AB27" s="59"/>
      <c r="AC27" s="59"/>
    </row>
    <row r="28" spans="2:29" x14ac:dyDescent="0.25">
      <c r="B28" s="83"/>
      <c r="C28" s="83"/>
      <c r="D28" s="83"/>
      <c r="E28" s="83"/>
      <c r="F28" s="84"/>
      <c r="G28" s="83"/>
      <c r="H28" s="132"/>
      <c r="I28" s="83"/>
      <c r="J28" s="168"/>
      <c r="K28" s="83"/>
      <c r="L28" s="83"/>
      <c r="M28" s="132"/>
      <c r="N28" s="284"/>
      <c r="O28" s="83"/>
      <c r="P28" s="83"/>
      <c r="Q28" s="132"/>
      <c r="R28" s="24"/>
      <c r="S28" s="24"/>
      <c r="T28" s="299"/>
      <c r="U28" s="132"/>
      <c r="V28" s="146"/>
      <c r="X28" s="59"/>
      <c r="Y28" s="59"/>
      <c r="Z28" s="59"/>
      <c r="AA28" s="59"/>
      <c r="AB28" s="59"/>
      <c r="AC28" s="59"/>
    </row>
    <row r="29" spans="2:29" x14ac:dyDescent="0.25">
      <c r="B29" s="73">
        <v>-14841.219189149806</v>
      </c>
      <c r="C29" s="73">
        <v>1314.4</v>
      </c>
      <c r="D29" s="73">
        <v>-10095</v>
      </c>
      <c r="E29" s="143">
        <v>0</v>
      </c>
      <c r="F29" s="142">
        <v>0</v>
      </c>
      <c r="G29" s="73">
        <v>-1339.1589653251099</v>
      </c>
      <c r="H29" s="141">
        <v>0</v>
      </c>
      <c r="I29" s="143">
        <v>0</v>
      </c>
      <c r="J29" s="169">
        <v>0</v>
      </c>
      <c r="K29" s="73">
        <v>-131.374</v>
      </c>
      <c r="L29" s="141">
        <v>0</v>
      </c>
      <c r="M29" s="121">
        <v>734.33855000000005</v>
      </c>
      <c r="N29" s="286">
        <v>0</v>
      </c>
      <c r="O29" s="73"/>
      <c r="P29" s="141"/>
      <c r="Q29" s="121"/>
      <c r="S29" s="52" t="s">
        <v>47</v>
      </c>
      <c r="T29" s="301">
        <v>0</v>
      </c>
      <c r="U29" s="141">
        <v>0</v>
      </c>
      <c r="V29" s="73">
        <v>-1339.1589653251099</v>
      </c>
      <c r="X29" s="59"/>
      <c r="Y29" s="59"/>
      <c r="Z29" s="59"/>
      <c r="AA29" s="59"/>
      <c r="AB29" s="59"/>
      <c r="AC29" s="59"/>
    </row>
    <row r="30" spans="2:29" x14ac:dyDescent="0.25">
      <c r="B30" s="79">
        <f t="shared" ref="B30:H30" si="12">SUM(B27:B29)</f>
        <v>-17348.461827828818</v>
      </c>
      <c r="C30" s="79">
        <f t="shared" si="12"/>
        <v>13619.799542683284</v>
      </c>
      <c r="D30" s="79">
        <f t="shared" si="12"/>
        <v>3106.8181737246068</v>
      </c>
      <c r="E30" s="79">
        <f t="shared" si="12"/>
        <v>11219.859939498274</v>
      </c>
      <c r="F30" s="80">
        <v>16181.429830820854</v>
      </c>
      <c r="G30" s="79">
        <f t="shared" si="12"/>
        <v>19000.173863659118</v>
      </c>
      <c r="H30" s="133">
        <f t="shared" si="12"/>
        <v>19377.757820299736</v>
      </c>
      <c r="I30" s="79">
        <f t="shared" ref="I30:Q30" si="13">SUM(I27:I29)</f>
        <v>13467.746904711919</v>
      </c>
      <c r="J30" s="170">
        <f t="shared" si="13"/>
        <v>21840.267626233155</v>
      </c>
      <c r="K30" s="79">
        <f t="shared" si="13"/>
        <v>16515.346014347993</v>
      </c>
      <c r="L30" s="79">
        <f t="shared" si="13"/>
        <v>15556.483622599688</v>
      </c>
      <c r="M30" s="133">
        <f t="shared" si="13"/>
        <v>8240.4213631389648</v>
      </c>
      <c r="N30" s="285">
        <f t="shared" si="13"/>
        <v>17285.006435469189</v>
      </c>
      <c r="O30" s="79">
        <f t="shared" si="13"/>
        <v>0</v>
      </c>
      <c r="P30" s="79">
        <f t="shared" si="13"/>
        <v>0</v>
      </c>
      <c r="Q30" s="133">
        <f t="shared" si="13"/>
        <v>0</v>
      </c>
      <c r="R30" s="18"/>
      <c r="S30" s="56" t="s">
        <v>142</v>
      </c>
      <c r="T30" s="300">
        <f t="shared" ref="T30:V30" si="14">SUM(T27:T29)</f>
        <v>17285.006435469189</v>
      </c>
      <c r="U30" s="133">
        <v>21840.267626233155</v>
      </c>
      <c r="V30" s="208">
        <f t="shared" si="14"/>
        <v>68026.997126327449</v>
      </c>
      <c r="X30" s="59"/>
      <c r="Y30" s="59"/>
      <c r="Z30" s="59"/>
      <c r="AA30" s="59"/>
      <c r="AB30" s="59"/>
      <c r="AC30" s="59"/>
    </row>
    <row r="31" spans="2:29" x14ac:dyDescent="0.25">
      <c r="B31" s="77"/>
      <c r="C31" s="77"/>
      <c r="D31" s="77"/>
      <c r="E31" s="77"/>
      <c r="F31" s="78"/>
      <c r="G31" s="77"/>
      <c r="H31" s="130"/>
      <c r="I31" s="77"/>
      <c r="J31" s="166"/>
      <c r="K31" s="77"/>
      <c r="L31" s="77"/>
      <c r="M31" s="130"/>
      <c r="N31" s="282"/>
      <c r="O31" s="77"/>
      <c r="P31" s="77"/>
      <c r="Q31" s="130"/>
      <c r="S31" s="52"/>
      <c r="T31" s="297"/>
      <c r="U31" s="145"/>
      <c r="V31" s="146"/>
      <c r="X31" s="59"/>
      <c r="Y31" s="59"/>
      <c r="Z31" s="59"/>
      <c r="AA31" s="59"/>
      <c r="AB31" s="59"/>
      <c r="AC31" s="59"/>
    </row>
    <row r="32" spans="2:29" x14ac:dyDescent="0.25">
      <c r="B32" s="77"/>
      <c r="C32" s="77"/>
      <c r="D32" s="77"/>
      <c r="E32" s="77"/>
      <c r="F32" s="78"/>
      <c r="G32" s="77"/>
      <c r="H32" s="130"/>
      <c r="I32" s="77"/>
      <c r="J32" s="166"/>
      <c r="K32" s="77"/>
      <c r="L32" s="77"/>
      <c r="M32" s="130"/>
      <c r="N32" s="282"/>
      <c r="O32" s="77"/>
      <c r="P32" s="77"/>
      <c r="Q32" s="130"/>
      <c r="S32" s="57" t="s">
        <v>145</v>
      </c>
      <c r="T32" s="297"/>
      <c r="U32" s="145"/>
      <c r="V32" s="209"/>
      <c r="X32" s="59"/>
      <c r="Y32" s="59"/>
      <c r="Z32" s="59"/>
      <c r="AA32" s="59"/>
      <c r="AB32" s="59"/>
      <c r="AC32" s="59"/>
    </row>
    <row r="33" spans="2:29" x14ac:dyDescent="0.25">
      <c r="B33" s="77">
        <v>-17348.461827828836</v>
      </c>
      <c r="C33" s="77">
        <v>13874.495330793239</v>
      </c>
      <c r="D33" s="77">
        <v>3404.6688355034321</v>
      </c>
      <c r="E33" s="77">
        <v>10940.09042711314</v>
      </c>
      <c r="F33" s="78">
        <v>15470.098614405226</v>
      </c>
      <c r="G33" s="77">
        <v>18526.026668346185</v>
      </c>
      <c r="H33" s="130">
        <v>19478.976730617444</v>
      </c>
      <c r="I33" s="77">
        <v>13586.187623625168</v>
      </c>
      <c r="J33" s="166">
        <v>21502.177822929971</v>
      </c>
      <c r="K33" s="77">
        <v>15868.680835030513</v>
      </c>
      <c r="L33" s="77">
        <v>15169.327181471668</v>
      </c>
      <c r="M33" s="130">
        <v>8371.7497990892534</v>
      </c>
      <c r="N33" s="282">
        <v>16922.239907276697</v>
      </c>
      <c r="O33" s="77"/>
      <c r="P33" s="77"/>
      <c r="Q33" s="130"/>
      <c r="S33" s="52" t="s">
        <v>48</v>
      </c>
      <c r="T33" s="297">
        <v>16922.239907276697</v>
      </c>
      <c r="U33" s="145">
        <v>21502.177822929971</v>
      </c>
      <c r="V33" s="209">
        <v>67061.289636990958</v>
      </c>
      <c r="X33" s="59"/>
      <c r="Y33" s="59"/>
      <c r="Z33" s="59"/>
      <c r="AA33" s="59"/>
      <c r="AB33" s="59"/>
      <c r="AC33" s="59"/>
    </row>
    <row r="34" spans="2:29" x14ac:dyDescent="0.25">
      <c r="B34" s="144">
        <v>0</v>
      </c>
      <c r="C34" s="85">
        <v>-254.95016486363701</v>
      </c>
      <c r="D34" s="85">
        <v>-297.82501436483204</v>
      </c>
      <c r="E34" s="85">
        <v>279.76953337596001</v>
      </c>
      <c r="F34" s="86">
        <v>711.33121641687399</v>
      </c>
      <c r="G34" s="85">
        <v>474.147195312804</v>
      </c>
      <c r="H34" s="134">
        <v>-101.33020347984299</v>
      </c>
      <c r="I34" s="85">
        <v>-118.440718913216</v>
      </c>
      <c r="J34" s="171">
        <v>338.08980330317701</v>
      </c>
      <c r="K34" s="85">
        <v>646.6651793174799</v>
      </c>
      <c r="L34" s="85">
        <v>387.15644112801999</v>
      </c>
      <c r="M34" s="134">
        <v>-131.32843595032199</v>
      </c>
      <c r="N34" s="287">
        <v>362.76652819250404</v>
      </c>
      <c r="O34" s="85"/>
      <c r="P34" s="85"/>
      <c r="Q34" s="134"/>
      <c r="R34" s="18"/>
      <c r="S34" s="58" t="s">
        <v>49</v>
      </c>
      <c r="T34" s="302">
        <v>362.76652819250404</v>
      </c>
      <c r="U34" s="134">
        <v>338.08980330317701</v>
      </c>
      <c r="V34" s="89">
        <v>965.70748933661901</v>
      </c>
      <c r="X34" s="59"/>
      <c r="Y34" s="59"/>
      <c r="Z34" s="59"/>
      <c r="AA34" s="59"/>
      <c r="AB34" s="59"/>
      <c r="AC34" s="59"/>
    </row>
    <row r="35" spans="2:29" x14ac:dyDescent="0.25">
      <c r="B35" s="51"/>
      <c r="C35" s="51"/>
      <c r="D35" s="51"/>
      <c r="E35" s="51"/>
      <c r="F35" s="60"/>
      <c r="G35" s="51"/>
      <c r="H35" s="129"/>
      <c r="I35" s="51"/>
      <c r="J35" s="172"/>
      <c r="N35" s="288"/>
      <c r="T35" s="303"/>
      <c r="U35" s="239"/>
      <c r="X35" s="59"/>
      <c r="Y35" s="59"/>
      <c r="Z35" s="59"/>
      <c r="AA35" s="59"/>
      <c r="AB35" s="59"/>
    </row>
    <row r="36" spans="2:29" x14ac:dyDescent="0.25">
      <c r="B36" s="5"/>
      <c r="C36" s="51"/>
      <c r="D36" s="5"/>
      <c r="E36" s="5"/>
      <c r="F36" s="55"/>
      <c r="G36" s="5"/>
      <c r="H36" s="129"/>
      <c r="I36" s="51"/>
      <c r="J36" s="172"/>
      <c r="N36" s="288"/>
      <c r="S36" s="2" t="s">
        <v>50</v>
      </c>
      <c r="T36" s="303"/>
      <c r="U36" s="239"/>
      <c r="X36" s="59"/>
      <c r="Y36" s="59"/>
      <c r="Z36" s="59"/>
      <c r="AA36" s="59"/>
      <c r="AB36" s="59"/>
    </row>
    <row r="37" spans="2:29" x14ac:dyDescent="0.25">
      <c r="B37" s="63">
        <v>-9.313022142927202E-3</v>
      </c>
      <c r="C37" s="63">
        <v>4.6653904236862359E-2</v>
      </c>
      <c r="D37" s="63">
        <v>5.014484446815503E-2</v>
      </c>
      <c r="E37" s="63">
        <v>4.0637228851120338E-2</v>
      </c>
      <c r="F37" s="65">
        <v>5.7464053257825082E-2</v>
      </c>
      <c r="G37" s="63">
        <v>7.3789709663965003E-2</v>
      </c>
      <c r="H37" s="135">
        <v>7.2362029117993359E-2</v>
      </c>
      <c r="I37" s="147">
        <v>5.0507851240263704E-2</v>
      </c>
      <c r="J37" s="173">
        <v>7.9948100465088295E-2</v>
      </c>
      <c r="K37" s="147">
        <v>5.9400596951848669E-2</v>
      </c>
      <c r="L37" s="147">
        <v>5.6370141429297124E-2</v>
      </c>
      <c r="M37" s="135">
        <v>2.8412077504967128E-2</v>
      </c>
      <c r="N37" s="289">
        <v>6.2952743556990889E-2</v>
      </c>
      <c r="O37" s="147"/>
      <c r="P37" s="147"/>
      <c r="Q37" s="135"/>
      <c r="S37" t="s">
        <v>51</v>
      </c>
      <c r="T37" s="304">
        <v>6.2952743556990889E-2</v>
      </c>
      <c r="U37" s="137">
        <v>7.9948100465088295E-2</v>
      </c>
      <c r="V37" s="106">
        <v>0.25413403041118277</v>
      </c>
      <c r="X37" s="59"/>
      <c r="Y37" s="59"/>
      <c r="Z37" s="59"/>
      <c r="AA37" s="59"/>
      <c r="AB37" s="59"/>
    </row>
    <row r="38" spans="2:29" x14ac:dyDescent="0.25">
      <c r="B38" s="63">
        <v>-5.5126935384845463E-2</v>
      </c>
      <c r="C38" s="63">
        <v>4.8822791638046485E-3</v>
      </c>
      <c r="D38" s="63">
        <v>-3.749812021867626E-2</v>
      </c>
      <c r="E38" s="63">
        <v>7.7961173008275832E-11</v>
      </c>
      <c r="F38" s="65">
        <v>0</v>
      </c>
      <c r="G38" s="63">
        <v>-4.9743381747081802E-3</v>
      </c>
      <c r="H38" s="135">
        <v>0</v>
      </c>
      <c r="I38" s="147">
        <v>1E-8</v>
      </c>
      <c r="J38" s="173">
        <v>1E-8</v>
      </c>
      <c r="K38" s="147">
        <v>-4.8772920495664568E-4</v>
      </c>
      <c r="L38" s="147">
        <v>0</v>
      </c>
      <c r="M38" s="135">
        <v>2.7318266775241649E-3</v>
      </c>
      <c r="N38" s="289">
        <v>0</v>
      </c>
      <c r="O38" s="147"/>
      <c r="P38" s="147"/>
      <c r="Q38" s="135"/>
      <c r="S38" t="s">
        <v>52</v>
      </c>
      <c r="T38" s="304">
        <v>0</v>
      </c>
      <c r="U38" s="137">
        <v>1E-8</v>
      </c>
      <c r="V38" s="106">
        <v>-4.9754917134829432E-3</v>
      </c>
      <c r="X38" s="59"/>
      <c r="Y38" s="59"/>
      <c r="Z38" s="59"/>
      <c r="AA38" s="59"/>
      <c r="AB38" s="59"/>
    </row>
    <row r="39" spans="2:29" x14ac:dyDescent="0.25">
      <c r="B39" s="64">
        <v>-6.4439957527772665E-2</v>
      </c>
      <c r="C39" s="64">
        <v>5.1536183400667006E-2</v>
      </c>
      <c r="D39" s="64">
        <v>1.2646724249478771E-2</v>
      </c>
      <c r="E39" s="64">
        <v>4.0637228929081511E-2</v>
      </c>
      <c r="F39" s="66">
        <v>5.7464053257825082E-2</v>
      </c>
      <c r="G39" s="64">
        <v>6.881537148925683E-2</v>
      </c>
      <c r="H39" s="136">
        <v>7.2362029117993359E-2</v>
      </c>
      <c r="I39" s="148">
        <v>5.0507861240263706E-2</v>
      </c>
      <c r="J39" s="174">
        <v>7.994811046508829E-2</v>
      </c>
      <c r="K39" s="148">
        <v>5.8912867746892021E-2</v>
      </c>
      <c r="L39" s="148">
        <v>5.6370141429297124E-2</v>
      </c>
      <c r="M39" s="136">
        <v>3.1143904182491293E-2</v>
      </c>
      <c r="N39" s="290">
        <v>6.2952743556990889E-2</v>
      </c>
      <c r="O39" s="148"/>
      <c r="P39" s="148"/>
      <c r="Q39" s="136"/>
      <c r="R39" s="18"/>
      <c r="S39" s="18" t="s">
        <v>53</v>
      </c>
      <c r="T39" s="305">
        <v>6.2952743556990889E-2</v>
      </c>
      <c r="U39" s="136">
        <v>7.994811046508829E-2</v>
      </c>
      <c r="V39" s="106">
        <v>0.24915853869769983</v>
      </c>
      <c r="X39" s="59"/>
      <c r="Y39" s="59"/>
      <c r="Z39" s="59"/>
      <c r="AA39" s="59"/>
      <c r="AB39" s="59"/>
    </row>
    <row r="40" spans="2:29" x14ac:dyDescent="0.25">
      <c r="B40" s="106"/>
      <c r="C40" s="106"/>
      <c r="D40" s="106"/>
      <c r="E40" s="106"/>
      <c r="F40" s="65"/>
      <c r="G40" s="106"/>
      <c r="H40" s="137"/>
      <c r="I40" s="149"/>
      <c r="J40" s="173"/>
      <c r="K40" s="149"/>
      <c r="L40" s="149"/>
      <c r="M40" s="137"/>
      <c r="N40" s="289"/>
      <c r="O40" s="149"/>
      <c r="P40" s="149"/>
      <c r="Q40" s="137"/>
      <c r="R40" s="107"/>
      <c r="S40" s="107"/>
      <c r="T40" s="304"/>
      <c r="U40" s="106"/>
      <c r="V40" s="106"/>
      <c r="X40" s="59"/>
      <c r="Y40" s="59"/>
      <c r="Z40" s="59"/>
      <c r="AA40" s="59"/>
      <c r="AB40" s="59"/>
    </row>
    <row r="41" spans="2:29" x14ac:dyDescent="0.25">
      <c r="B41" s="108">
        <v>15950.420661737144</v>
      </c>
      <c r="C41" s="108">
        <v>30934.999542683287</v>
      </c>
      <c r="D41" s="108">
        <v>32140.703469788587</v>
      </c>
      <c r="E41" s="67">
        <v>35253.135467404289</v>
      </c>
      <c r="F41" s="69">
        <v>40969.730107899995</v>
      </c>
      <c r="G41" s="108">
        <v>41550.703788312741</v>
      </c>
      <c r="H41" s="138">
        <v>48326.929688081189</v>
      </c>
      <c r="I41" s="108">
        <v>40119.166690653263</v>
      </c>
      <c r="J41" s="175">
        <v>46138.476927986347</v>
      </c>
      <c r="K41" s="108">
        <v>43752.183330889151</v>
      </c>
      <c r="L41" s="108">
        <v>45377.137571574662</v>
      </c>
      <c r="M41" s="138">
        <v>40828.830771268185</v>
      </c>
      <c r="N41" s="291">
        <v>44647.904121973595</v>
      </c>
      <c r="O41" s="108"/>
      <c r="P41" s="108"/>
      <c r="Q41" s="138"/>
      <c r="R41" s="107"/>
      <c r="S41" s="109" t="s">
        <v>146</v>
      </c>
      <c r="T41" s="306">
        <v>44647.904121973595</v>
      </c>
      <c r="U41" s="36">
        <v>46138.476927986347</v>
      </c>
      <c r="V41" s="36">
        <v>170966.53027494493</v>
      </c>
      <c r="X41" s="59"/>
      <c r="Y41" s="59"/>
      <c r="Z41" s="59"/>
      <c r="AA41" s="59"/>
      <c r="AB41" s="59"/>
    </row>
    <row r="42" spans="2:29" x14ac:dyDescent="0.25">
      <c r="B42" s="67">
        <v>24967.347661736745</v>
      </c>
      <c r="C42" s="68">
        <v>26465.413915787627</v>
      </c>
      <c r="D42" s="67">
        <v>32037.583113364773</v>
      </c>
      <c r="E42" s="67">
        <v>35942.771521854505</v>
      </c>
      <c r="F42" s="69">
        <v>40969.730107900003</v>
      </c>
      <c r="G42" s="67">
        <v>41551</v>
      </c>
      <c r="H42" s="139">
        <v>48326.929688079865</v>
      </c>
      <c r="I42" s="68">
        <v>40019.166690653263</v>
      </c>
      <c r="J42" s="176">
        <v>46138.476927986361</v>
      </c>
      <c r="K42" s="159">
        <v>43752.183330889166</v>
      </c>
      <c r="L42" s="159">
        <v>45377.137571574662</v>
      </c>
      <c r="M42" s="127">
        <v>40828.830771268185</v>
      </c>
      <c r="N42" s="269">
        <v>44647.904121973595</v>
      </c>
      <c r="O42" s="159"/>
      <c r="P42" s="159"/>
      <c r="Q42" s="127"/>
      <c r="R42" s="2"/>
      <c r="S42" s="20" t="s">
        <v>54</v>
      </c>
      <c r="T42" s="307">
        <v>44647.904121973595</v>
      </c>
      <c r="U42" s="36">
        <v>46138.476927986361</v>
      </c>
      <c r="V42" s="36">
        <v>170866.53027494493</v>
      </c>
      <c r="X42" s="59"/>
      <c r="Y42" s="59"/>
      <c r="Z42" s="59"/>
      <c r="AA42" s="59"/>
      <c r="AB42" s="59"/>
    </row>
    <row r="43" spans="2:29" x14ac:dyDescent="0.25">
      <c r="B43" s="22"/>
      <c r="C43" s="56"/>
      <c r="D43" s="22"/>
      <c r="E43" s="22"/>
      <c r="F43" s="70"/>
      <c r="G43" s="22"/>
      <c r="H43" s="140"/>
      <c r="I43" s="56"/>
      <c r="J43" s="177"/>
      <c r="K43" s="185"/>
      <c r="L43" s="185"/>
      <c r="M43" s="232"/>
      <c r="N43" s="292">
        <v>2.3047805120503324</v>
      </c>
      <c r="O43" s="185"/>
      <c r="P43" s="185"/>
      <c r="Q43" s="232"/>
      <c r="R43" s="22"/>
      <c r="S43" s="22" t="s">
        <v>55</v>
      </c>
      <c r="T43" s="308">
        <v>2.3047805120503324</v>
      </c>
      <c r="U43" s="241">
        <v>1.8</v>
      </c>
      <c r="V43" s="210">
        <v>1.9</v>
      </c>
      <c r="X43" s="59"/>
      <c r="Y43" s="59"/>
      <c r="Z43" s="59"/>
      <c r="AA43" s="59"/>
    </row>
    <row r="45" spans="2:29" hidden="1" x14ac:dyDescent="0.25">
      <c r="S45" s="214" t="s">
        <v>173</v>
      </c>
    </row>
    <row r="46" spans="2:29" hidden="1" x14ac:dyDescent="0.25">
      <c r="B46" s="213">
        <f>+B8-SUM(B6:B7)</f>
        <v>0</v>
      </c>
      <c r="C46" s="213">
        <f t="shared" ref="C46:M46" si="15">+C8-SUM(C6:C7)</f>
        <v>0</v>
      </c>
      <c r="D46" s="213">
        <f t="shared" si="15"/>
        <v>0</v>
      </c>
      <c r="E46" s="213">
        <f t="shared" si="15"/>
        <v>0</v>
      </c>
      <c r="F46" s="213">
        <f t="shared" si="15"/>
        <v>0</v>
      </c>
      <c r="G46" s="213">
        <f t="shared" si="15"/>
        <v>0</v>
      </c>
      <c r="H46" s="213">
        <f t="shared" si="15"/>
        <v>0</v>
      </c>
      <c r="I46" s="213">
        <f t="shared" si="15"/>
        <v>0</v>
      </c>
      <c r="J46" s="213">
        <f t="shared" si="15"/>
        <v>0</v>
      </c>
      <c r="K46" s="213">
        <f t="shared" si="15"/>
        <v>0</v>
      </c>
      <c r="L46" s="213">
        <f t="shared" si="15"/>
        <v>0</v>
      </c>
      <c r="M46" s="233">
        <f t="shared" si="15"/>
        <v>0</v>
      </c>
      <c r="N46" s="213">
        <f t="shared" ref="N46:Q46" si="16">+N8-SUM(N6:N7)</f>
        <v>0</v>
      </c>
      <c r="O46" s="213">
        <f t="shared" si="16"/>
        <v>0</v>
      </c>
      <c r="P46" s="213">
        <f t="shared" si="16"/>
        <v>0</v>
      </c>
      <c r="Q46" s="233">
        <f t="shared" si="16"/>
        <v>0</v>
      </c>
      <c r="R46" s="214"/>
      <c r="S46" s="217" t="s">
        <v>140</v>
      </c>
      <c r="T46" s="213">
        <f t="shared" ref="T46:U46" si="17">+T8-SUM(T6:T7)</f>
        <v>0</v>
      </c>
      <c r="U46" s="213">
        <f t="shared" si="17"/>
        <v>0</v>
      </c>
      <c r="V46" s="220"/>
      <c r="W46" s="217"/>
    </row>
    <row r="47" spans="2:29" hidden="1" x14ac:dyDescent="0.25">
      <c r="B47" s="213">
        <f>+B15-SUM(B8:B14)</f>
        <v>0</v>
      </c>
      <c r="C47" s="213">
        <f t="shared" ref="C47:M47" si="18">+C15-SUM(C8:C14)</f>
        <v>0</v>
      </c>
      <c r="D47" s="213">
        <f t="shared" si="18"/>
        <v>0</v>
      </c>
      <c r="E47" s="213">
        <f t="shared" si="18"/>
        <v>0</v>
      </c>
      <c r="F47" s="213">
        <f t="shared" si="18"/>
        <v>0</v>
      </c>
      <c r="G47" s="213">
        <f t="shared" si="18"/>
        <v>0</v>
      </c>
      <c r="H47" s="213">
        <f t="shared" si="18"/>
        <v>0</v>
      </c>
      <c r="I47" s="213">
        <f t="shared" si="18"/>
        <v>0</v>
      </c>
      <c r="J47" s="213">
        <f t="shared" si="18"/>
        <v>0</v>
      </c>
      <c r="K47" s="213">
        <f t="shared" si="18"/>
        <v>0</v>
      </c>
      <c r="L47" s="213">
        <f t="shared" si="18"/>
        <v>0</v>
      </c>
      <c r="M47" s="233">
        <f t="shared" si="18"/>
        <v>0</v>
      </c>
      <c r="N47" s="213">
        <f t="shared" ref="N47:Q47" si="19">+N15-SUM(N8:N14)</f>
        <v>0</v>
      </c>
      <c r="O47" s="213">
        <f t="shared" si="19"/>
        <v>0</v>
      </c>
      <c r="P47" s="213">
        <f t="shared" si="19"/>
        <v>0</v>
      </c>
      <c r="Q47" s="233">
        <f t="shared" si="19"/>
        <v>0</v>
      </c>
      <c r="R47" s="213"/>
      <c r="S47" s="217" t="s">
        <v>41</v>
      </c>
      <c r="T47" s="213">
        <f t="shared" ref="T47:U47" si="20">+T15-SUM(T8:T14)</f>
        <v>0</v>
      </c>
      <c r="U47" s="213">
        <f t="shared" si="20"/>
        <v>0</v>
      </c>
      <c r="V47" s="221"/>
      <c r="W47" s="217"/>
    </row>
    <row r="48" spans="2:29" hidden="1" x14ac:dyDescent="0.25">
      <c r="B48" s="213">
        <f>+B21-SUM(B17:B20)</f>
        <v>0</v>
      </c>
      <c r="C48" s="213">
        <f t="shared" ref="C48:M48" si="21">+C21-SUM(C17:C20)</f>
        <v>0</v>
      </c>
      <c r="D48" s="213">
        <f t="shared" si="21"/>
        <v>0</v>
      </c>
      <c r="E48" s="213">
        <f t="shared" si="21"/>
        <v>0</v>
      </c>
      <c r="F48" s="213">
        <f t="shared" si="21"/>
        <v>0</v>
      </c>
      <c r="G48" s="213">
        <f t="shared" si="21"/>
        <v>0</v>
      </c>
      <c r="H48" s="213">
        <f t="shared" si="21"/>
        <v>0</v>
      </c>
      <c r="I48" s="213">
        <f t="shared" si="21"/>
        <v>0</v>
      </c>
      <c r="J48" s="213">
        <f t="shared" si="21"/>
        <v>0</v>
      </c>
      <c r="K48" s="213">
        <f t="shared" si="21"/>
        <v>0</v>
      </c>
      <c r="L48" s="213">
        <f t="shared" si="21"/>
        <v>0</v>
      </c>
      <c r="M48" s="233">
        <f t="shared" si="21"/>
        <v>0</v>
      </c>
      <c r="N48" s="213">
        <f t="shared" ref="N48:Q48" si="22">+N21-SUM(N17:N20)</f>
        <v>0</v>
      </c>
      <c r="O48" s="213">
        <f t="shared" si="22"/>
        <v>0</v>
      </c>
      <c r="P48" s="213">
        <f t="shared" si="22"/>
        <v>0</v>
      </c>
      <c r="Q48" s="233">
        <f t="shared" si="22"/>
        <v>0</v>
      </c>
      <c r="R48" s="213"/>
      <c r="S48" s="217" t="s">
        <v>163</v>
      </c>
      <c r="T48" s="213">
        <f t="shared" ref="T48:U48" si="23">+T21-SUM(T17:T20)</f>
        <v>0</v>
      </c>
      <c r="U48" s="213">
        <f t="shared" si="23"/>
        <v>0</v>
      </c>
      <c r="V48" s="221"/>
      <c r="W48" s="217"/>
    </row>
    <row r="49" spans="2:23" hidden="1" x14ac:dyDescent="0.25">
      <c r="B49" s="213">
        <f>+B24-B15-B21-B23</f>
        <v>0</v>
      </c>
      <c r="C49" s="213">
        <f t="shared" ref="C49:M49" si="24">+C24-C15-C21-C23</f>
        <v>0</v>
      </c>
      <c r="D49" s="213">
        <f t="shared" si="24"/>
        <v>0</v>
      </c>
      <c r="E49" s="213">
        <f t="shared" si="24"/>
        <v>0</v>
      </c>
      <c r="F49" s="213">
        <f t="shared" si="24"/>
        <v>1.2505552149377763E-12</v>
      </c>
      <c r="G49" s="213">
        <f t="shared" si="24"/>
        <v>0</v>
      </c>
      <c r="H49" s="213">
        <f t="shared" si="24"/>
        <v>0</v>
      </c>
      <c r="I49" s="213">
        <f t="shared" si="24"/>
        <v>0</v>
      </c>
      <c r="J49" s="213">
        <f t="shared" si="24"/>
        <v>0</v>
      </c>
      <c r="K49" s="213">
        <f t="shared" si="24"/>
        <v>0</v>
      </c>
      <c r="L49" s="213">
        <f t="shared" si="24"/>
        <v>0</v>
      </c>
      <c r="M49" s="233">
        <f t="shared" si="24"/>
        <v>0</v>
      </c>
      <c r="N49" s="213">
        <f t="shared" ref="N49:Q49" si="25">+N24-N15-N21-N23</f>
        <v>0</v>
      </c>
      <c r="O49" s="213">
        <f t="shared" si="25"/>
        <v>0</v>
      </c>
      <c r="P49" s="213">
        <f t="shared" si="25"/>
        <v>0</v>
      </c>
      <c r="Q49" s="233">
        <f t="shared" si="25"/>
        <v>0</v>
      </c>
      <c r="R49" s="214"/>
      <c r="S49" s="217" t="s">
        <v>144</v>
      </c>
      <c r="T49" s="213">
        <f t="shared" ref="T49:U49" si="26">+T24-T15-T21-T23</f>
        <v>0</v>
      </c>
      <c r="U49" s="213">
        <f t="shared" si="26"/>
        <v>0</v>
      </c>
      <c r="V49" s="217"/>
      <c r="W49" s="217"/>
    </row>
    <row r="50" spans="2:23" hidden="1" x14ac:dyDescent="0.25">
      <c r="B50" s="213">
        <f>+B27-B24-B26</f>
        <v>0</v>
      </c>
      <c r="C50" s="213">
        <f t="shared" ref="C50:M50" si="27">+C27-C24-C26</f>
        <v>0</v>
      </c>
      <c r="D50" s="213">
        <f t="shared" si="27"/>
        <v>0</v>
      </c>
      <c r="E50" s="213">
        <f t="shared" si="27"/>
        <v>0</v>
      </c>
      <c r="F50" s="213">
        <f t="shared" si="27"/>
        <v>0</v>
      </c>
      <c r="G50" s="213">
        <f t="shared" si="27"/>
        <v>0</v>
      </c>
      <c r="H50" s="213">
        <f t="shared" si="27"/>
        <v>0</v>
      </c>
      <c r="I50" s="213">
        <f t="shared" si="27"/>
        <v>0</v>
      </c>
      <c r="J50" s="213">
        <f t="shared" si="27"/>
        <v>0</v>
      </c>
      <c r="K50" s="213">
        <f t="shared" si="27"/>
        <v>0</v>
      </c>
      <c r="L50" s="213">
        <f t="shared" si="27"/>
        <v>0</v>
      </c>
      <c r="M50" s="233">
        <f t="shared" si="27"/>
        <v>0</v>
      </c>
      <c r="N50" s="213">
        <f t="shared" ref="N50:Q50" si="28">+N27-N24-N26</f>
        <v>0</v>
      </c>
      <c r="O50" s="213">
        <f t="shared" si="28"/>
        <v>0</v>
      </c>
      <c r="P50" s="213">
        <f t="shared" si="28"/>
        <v>0</v>
      </c>
      <c r="Q50" s="233">
        <f t="shared" si="28"/>
        <v>0</v>
      </c>
      <c r="R50" s="213"/>
      <c r="S50" s="217" t="s">
        <v>143</v>
      </c>
      <c r="T50" s="213">
        <f t="shared" ref="T50:U50" si="29">+T27-T24-T26</f>
        <v>0</v>
      </c>
      <c r="U50" s="213">
        <f t="shared" si="29"/>
        <v>0</v>
      </c>
      <c r="V50" s="221"/>
      <c r="W50" s="217"/>
    </row>
    <row r="51" spans="2:23" hidden="1" x14ac:dyDescent="0.25">
      <c r="B51" s="213">
        <f>+B30-B29-B27</f>
        <v>0</v>
      </c>
      <c r="C51" s="213">
        <f t="shared" ref="C51:M51" si="30">+C30-C29-C27</f>
        <v>0</v>
      </c>
      <c r="D51" s="213">
        <f t="shared" si="30"/>
        <v>0</v>
      </c>
      <c r="E51" s="213">
        <f t="shared" si="30"/>
        <v>0</v>
      </c>
      <c r="F51" s="213">
        <f t="shared" si="30"/>
        <v>0</v>
      </c>
      <c r="G51" s="213">
        <f t="shared" si="30"/>
        <v>0</v>
      </c>
      <c r="H51" s="213">
        <f t="shared" si="30"/>
        <v>0</v>
      </c>
      <c r="I51" s="213">
        <f t="shared" si="30"/>
        <v>0</v>
      </c>
      <c r="J51" s="213">
        <f t="shared" si="30"/>
        <v>0</v>
      </c>
      <c r="K51" s="213">
        <f t="shared" si="30"/>
        <v>0</v>
      </c>
      <c r="L51" s="213">
        <f t="shared" si="30"/>
        <v>0</v>
      </c>
      <c r="M51" s="233">
        <f t="shared" si="30"/>
        <v>0</v>
      </c>
      <c r="N51" s="213">
        <f t="shared" ref="N51:Q51" si="31">+N30-N29-N27</f>
        <v>0</v>
      </c>
      <c r="O51" s="213">
        <f t="shared" si="31"/>
        <v>0</v>
      </c>
      <c r="P51" s="213">
        <f t="shared" si="31"/>
        <v>0</v>
      </c>
      <c r="Q51" s="233">
        <f t="shared" si="31"/>
        <v>0</v>
      </c>
      <c r="R51" s="214"/>
      <c r="S51" s="218" t="s">
        <v>142</v>
      </c>
      <c r="T51" s="213">
        <f t="shared" ref="T51:U51" si="32">+T30-T29-T27</f>
        <v>0</v>
      </c>
      <c r="U51" s="213">
        <f t="shared" si="32"/>
        <v>0</v>
      </c>
      <c r="V51" s="217"/>
      <c r="W51" s="217"/>
    </row>
    <row r="52" spans="2:23" hidden="1" x14ac:dyDescent="0.25">
      <c r="B52" s="213"/>
      <c r="C52" s="213"/>
      <c r="D52" s="213"/>
      <c r="E52" s="213"/>
      <c r="F52" s="213"/>
      <c r="G52" s="213"/>
      <c r="H52" s="213"/>
      <c r="I52" s="213"/>
      <c r="J52" s="213"/>
      <c r="K52" s="213"/>
      <c r="L52" s="213"/>
      <c r="M52" s="233"/>
      <c r="N52" s="213"/>
      <c r="O52" s="213"/>
      <c r="P52" s="213"/>
      <c r="Q52" s="233"/>
      <c r="R52" s="213"/>
      <c r="S52" s="214"/>
      <c r="T52" s="213"/>
      <c r="U52" s="213"/>
      <c r="V52" s="221"/>
      <c r="W52" s="217"/>
    </row>
    <row r="53" spans="2:23" x14ac:dyDescent="0.25">
      <c r="C53"/>
      <c r="H53"/>
      <c r="I53"/>
      <c r="J53" s="95"/>
      <c r="K53"/>
      <c r="L53"/>
      <c r="M53" s="110"/>
      <c r="N53"/>
      <c r="O53"/>
      <c r="P53"/>
      <c r="Q53" s="110"/>
      <c r="T53"/>
      <c r="U53"/>
      <c r="V53" s="107"/>
    </row>
    <row r="54" spans="2:23" x14ac:dyDescent="0.25">
      <c r="C54"/>
      <c r="H54"/>
      <c r="I54"/>
      <c r="J54"/>
      <c r="K54"/>
      <c r="L54"/>
      <c r="M54" s="110"/>
      <c r="N54"/>
      <c r="O54"/>
      <c r="P54"/>
      <c r="Q54" s="110"/>
      <c r="T54"/>
      <c r="U54"/>
      <c r="V54" s="107"/>
    </row>
    <row r="55" spans="2:23" x14ac:dyDescent="0.25">
      <c r="B55" s="95"/>
      <c r="C55" s="95"/>
      <c r="D55" s="95"/>
      <c r="E55" s="95"/>
      <c r="F55" s="95"/>
      <c r="G55" s="95"/>
      <c r="H55" s="95"/>
      <c r="I55" s="95"/>
      <c r="J55" s="95"/>
      <c r="K55" s="95"/>
      <c r="L55" s="95"/>
      <c r="M55" s="234"/>
      <c r="N55" s="95"/>
      <c r="O55" s="95"/>
      <c r="P55" s="95"/>
      <c r="Q55" s="234"/>
      <c r="R55" s="95"/>
      <c r="S55" s="95"/>
      <c r="T55" s="95"/>
      <c r="U55" s="95"/>
      <c r="V55" s="211"/>
    </row>
    <row r="56" spans="2:23" x14ac:dyDescent="0.25">
      <c r="C56"/>
      <c r="H56"/>
      <c r="I56"/>
      <c r="J56"/>
      <c r="K56"/>
      <c r="L56"/>
      <c r="M56" s="110"/>
      <c r="N56"/>
      <c r="O56"/>
      <c r="P56"/>
      <c r="Q56" s="110"/>
      <c r="T56"/>
      <c r="U56"/>
      <c r="V56" s="107"/>
    </row>
    <row r="57" spans="2:23" x14ac:dyDescent="0.25">
      <c r="B57" s="95"/>
      <c r="C57" s="95"/>
      <c r="D57" s="95"/>
      <c r="E57" s="95"/>
      <c r="F57" s="95"/>
      <c r="G57" s="95"/>
      <c r="H57" s="95"/>
      <c r="I57" s="95"/>
      <c r="J57" s="95"/>
      <c r="K57" s="95"/>
      <c r="L57" s="95"/>
      <c r="M57" s="234"/>
      <c r="N57" s="95"/>
      <c r="O57" s="95"/>
      <c r="P57" s="95"/>
      <c r="Q57" s="234"/>
      <c r="R57" s="95"/>
      <c r="S57" s="95"/>
      <c r="T57" s="95"/>
      <c r="U57" s="95"/>
      <c r="V57" s="211"/>
    </row>
  </sheetData>
  <phoneticPr fontId="3" type="noConversion"/>
  <pageMargins left="0.7" right="0.7" top="0.75" bottom="0.75" header="0.3" footer="0.3"/>
  <pageSetup paperSize="9" orientation="portrait" r:id="rId1"/>
  <customProperties>
    <customPr name="_pios_id" r:id="rId2"/>
    <customPr name="SheetOptions" r:id="rId3"/>
  </customProperties>
  <ignoredErrors>
    <ignoredError sqref="W7 M2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809D-8D88-4D95-8EF4-8A1766B91FD2}">
  <dimension ref="B1:V58"/>
  <sheetViews>
    <sheetView showGridLines="0" zoomScale="90" zoomScaleNormal="90" workbookViewId="0">
      <selection activeCell="O16" sqref="O16"/>
    </sheetView>
  </sheetViews>
  <sheetFormatPr defaultRowHeight="15" outlineLevelRow="1" x14ac:dyDescent="0.25"/>
  <cols>
    <col min="2" max="2" width="42.5703125" bestFit="1" customWidth="1"/>
    <col min="3" max="8" width="15.7109375" customWidth="1"/>
    <col min="9" max="9" width="15.7109375" style="110" customWidth="1"/>
    <col min="10" max="10" width="15.7109375" style="52" customWidth="1"/>
    <col min="11" max="11" width="15.7109375" style="110" customWidth="1"/>
    <col min="12" max="12" width="15.7109375" style="52" customWidth="1"/>
    <col min="13" max="15" width="15.7109375" style="110" customWidth="1"/>
    <col min="16" max="16" width="15.7109375" style="52" hidden="1" customWidth="1"/>
    <col min="17" max="18" width="15.7109375" style="110" hidden="1" customWidth="1"/>
  </cols>
  <sheetData>
    <row r="1" spans="2:22" x14ac:dyDescent="0.25">
      <c r="B1" t="s">
        <v>203</v>
      </c>
    </row>
    <row r="2" spans="2:22" x14ac:dyDescent="0.25">
      <c r="B2" s="20"/>
      <c r="C2" s="8"/>
      <c r="D2" s="8"/>
      <c r="E2" s="8"/>
      <c r="F2" s="8"/>
      <c r="G2" s="8"/>
      <c r="H2" s="8"/>
      <c r="I2" s="116"/>
      <c r="J2" s="151"/>
      <c r="K2" s="116"/>
      <c r="L2" s="151"/>
      <c r="M2" s="116"/>
      <c r="N2" s="116"/>
      <c r="O2" s="116"/>
      <c r="P2" s="151"/>
      <c r="Q2" s="116"/>
      <c r="R2" s="116"/>
    </row>
    <row r="3" spans="2:22" x14ac:dyDescent="0.25">
      <c r="B3" s="20" t="s">
        <v>32</v>
      </c>
      <c r="C3" s="29" t="s">
        <v>56</v>
      </c>
      <c r="D3" s="27" t="s">
        <v>57</v>
      </c>
      <c r="E3" s="27" t="s">
        <v>58</v>
      </c>
      <c r="F3" s="28" t="s">
        <v>59</v>
      </c>
      <c r="G3" s="27" t="s">
        <v>56</v>
      </c>
      <c r="H3" s="27" t="s">
        <v>57</v>
      </c>
      <c r="I3" s="117" t="s">
        <v>58</v>
      </c>
      <c r="J3" s="152" t="s">
        <v>59</v>
      </c>
      <c r="K3" s="178" t="s">
        <v>56</v>
      </c>
      <c r="L3" s="186" t="s">
        <v>57</v>
      </c>
      <c r="M3" s="200" t="s">
        <v>58</v>
      </c>
      <c r="N3" s="200" t="s">
        <v>59</v>
      </c>
      <c r="O3" s="272" t="s">
        <v>56</v>
      </c>
      <c r="P3" s="186" t="s">
        <v>57</v>
      </c>
      <c r="Q3" s="200" t="s">
        <v>58</v>
      </c>
      <c r="R3" s="200" t="s">
        <v>59</v>
      </c>
    </row>
    <row r="4" spans="2:22" ht="30" x14ac:dyDescent="0.25">
      <c r="B4" s="34" t="s">
        <v>157</v>
      </c>
      <c r="C4" s="30">
        <v>2022</v>
      </c>
      <c r="D4" s="16">
        <v>2022</v>
      </c>
      <c r="E4" s="16">
        <v>2022</v>
      </c>
      <c r="F4" s="17">
        <v>2022</v>
      </c>
      <c r="G4" s="16">
        <v>2023</v>
      </c>
      <c r="H4" s="16">
        <v>2023</v>
      </c>
      <c r="I4" s="118">
        <v>2023</v>
      </c>
      <c r="J4" s="54">
        <v>2023</v>
      </c>
      <c r="K4" s="163">
        <v>2024</v>
      </c>
      <c r="L4" s="54">
        <v>2024</v>
      </c>
      <c r="M4" s="118">
        <v>2024</v>
      </c>
      <c r="N4" s="118">
        <v>2024</v>
      </c>
      <c r="O4" s="262">
        <v>2025</v>
      </c>
      <c r="P4" s="54">
        <v>2025</v>
      </c>
      <c r="Q4" s="54">
        <v>2025</v>
      </c>
      <c r="R4" s="54">
        <v>2025</v>
      </c>
    </row>
    <row r="5" spans="2:22" x14ac:dyDescent="0.25">
      <c r="C5" s="32"/>
      <c r="D5" s="15"/>
      <c r="E5" s="15"/>
      <c r="F5" s="11"/>
      <c r="G5" s="15"/>
      <c r="H5" s="15"/>
      <c r="I5" s="119"/>
      <c r="J5" s="53"/>
      <c r="K5" s="162"/>
      <c r="L5" s="160"/>
      <c r="M5" s="201"/>
      <c r="N5" s="201"/>
      <c r="O5" s="261"/>
      <c r="P5" s="160"/>
      <c r="Q5" s="201"/>
      <c r="R5" s="201"/>
    </row>
    <row r="6" spans="2:22" x14ac:dyDescent="0.25">
      <c r="B6" t="s">
        <v>60</v>
      </c>
      <c r="C6" s="88">
        <v>76132.955585419899</v>
      </c>
      <c r="D6" s="89">
        <v>75906.877742956101</v>
      </c>
      <c r="E6" s="89">
        <v>72042.592469807991</v>
      </c>
      <c r="F6" s="87">
        <v>71331.033608833808</v>
      </c>
      <c r="G6" s="90">
        <v>67972.5174102655</v>
      </c>
      <c r="H6" s="90">
        <v>65731.386435999695</v>
      </c>
      <c r="I6" s="120">
        <v>62860.402333826802</v>
      </c>
      <c r="J6" s="72">
        <v>62300.397656640002</v>
      </c>
      <c r="K6" s="150">
        <v>59531.942120364198</v>
      </c>
      <c r="L6" s="73">
        <v>57677.520505084402</v>
      </c>
      <c r="M6" s="121">
        <v>54201.1802067018</v>
      </c>
      <c r="N6" s="121">
        <v>52915.156177146702</v>
      </c>
      <c r="O6" s="276">
        <v>50731.001740793901</v>
      </c>
      <c r="P6" s="73"/>
      <c r="Q6" s="121"/>
      <c r="R6" s="121"/>
    </row>
    <row r="7" spans="2:22" x14ac:dyDescent="0.25">
      <c r="B7" t="s">
        <v>61</v>
      </c>
      <c r="C7" s="88">
        <v>21665.527046623902</v>
      </c>
      <c r="D7" s="89">
        <v>22406.4860847444</v>
      </c>
      <c r="E7" s="89">
        <v>22369.217847911801</v>
      </c>
      <c r="F7" s="87">
        <v>22414.338733997902</v>
      </c>
      <c r="G7" s="90">
        <v>22039.691723242802</v>
      </c>
      <c r="H7" s="90">
        <v>23008.213436045899</v>
      </c>
      <c r="I7" s="120">
        <v>22064.431915423502</v>
      </c>
      <c r="J7" s="72">
        <v>22882.7526128922</v>
      </c>
      <c r="K7" s="150">
        <v>21265.595760165503</v>
      </c>
      <c r="L7" s="73">
        <v>20367.125396251897</v>
      </c>
      <c r="M7" s="121">
        <v>19883.327295288102</v>
      </c>
      <c r="N7" s="121">
        <v>22295.248737207199</v>
      </c>
      <c r="O7" s="276">
        <v>21876.4052101292</v>
      </c>
      <c r="P7" s="73"/>
      <c r="Q7" s="121"/>
      <c r="R7" s="121"/>
    </row>
    <row r="8" spans="2:22" x14ac:dyDescent="0.25">
      <c r="B8" t="s">
        <v>62</v>
      </c>
      <c r="C8" s="88">
        <v>110138.213335405</v>
      </c>
      <c r="D8" s="89">
        <v>111302.285534316</v>
      </c>
      <c r="E8" s="89">
        <v>107986.90841424299</v>
      </c>
      <c r="F8" s="87">
        <v>104958.206677411</v>
      </c>
      <c r="G8" s="90">
        <v>104870.5293788</v>
      </c>
      <c r="H8" s="90">
        <v>105483.78349277801</v>
      </c>
      <c r="I8" s="120">
        <v>105599.97521960901</v>
      </c>
      <c r="J8" s="72">
        <v>106060.83485333499</v>
      </c>
      <c r="K8" s="150">
        <v>105465.016127553</v>
      </c>
      <c r="L8" s="73">
        <v>106791.030255979</v>
      </c>
      <c r="M8" s="121">
        <v>105947.47285249899</v>
      </c>
      <c r="N8" s="121">
        <v>107584.18134733</v>
      </c>
      <c r="O8" s="276">
        <v>108860.891916094</v>
      </c>
      <c r="P8" s="73"/>
      <c r="Q8" s="121"/>
      <c r="R8" s="121"/>
    </row>
    <row r="9" spans="2:22" x14ac:dyDescent="0.25">
      <c r="B9" t="s">
        <v>63</v>
      </c>
      <c r="C9" s="88">
        <v>191702.3913548993</v>
      </c>
      <c r="D9" s="89">
        <v>204554.96516184899</v>
      </c>
      <c r="E9" s="89">
        <v>206485.60786118501</v>
      </c>
      <c r="F9" s="87">
        <v>201974.936618985</v>
      </c>
      <c r="G9" s="90">
        <v>201160.45792410799</v>
      </c>
      <c r="H9" s="90">
        <v>199059.31723720301</v>
      </c>
      <c r="I9" s="120">
        <v>194984.41208104501</v>
      </c>
      <c r="J9" s="72">
        <v>202934.08718182502</v>
      </c>
      <c r="K9" s="150">
        <v>205189.935062212</v>
      </c>
      <c r="L9" s="73">
        <v>212158.383234518</v>
      </c>
      <c r="M9" s="121">
        <v>228298.44733936599</v>
      </c>
      <c r="N9" s="121">
        <v>265013.09154372098</v>
      </c>
      <c r="O9" s="276">
        <v>278889.39064816199</v>
      </c>
      <c r="P9" s="73"/>
      <c r="Q9" s="121"/>
      <c r="R9" s="121"/>
    </row>
    <row r="10" spans="2:22" x14ac:dyDescent="0.25">
      <c r="B10" t="s">
        <v>64</v>
      </c>
      <c r="C10" s="88">
        <v>57061.454674980698</v>
      </c>
      <c r="D10" s="89">
        <v>58645.460577083897</v>
      </c>
      <c r="E10" s="89">
        <v>60026.677486895896</v>
      </c>
      <c r="F10" s="87">
        <v>76783.943450664301</v>
      </c>
      <c r="G10" s="90">
        <v>77582.084323307397</v>
      </c>
      <c r="H10" s="90">
        <v>81604.636035580988</v>
      </c>
      <c r="I10" s="120">
        <v>79716.134668500395</v>
      </c>
      <c r="J10" s="72">
        <v>86369.858604428198</v>
      </c>
      <c r="K10" s="150">
        <v>89396.608449858992</v>
      </c>
      <c r="L10" s="73">
        <v>94271.352238274209</v>
      </c>
      <c r="M10" s="121">
        <v>91841.024524545501</v>
      </c>
      <c r="N10" s="121">
        <v>91978.577498049795</v>
      </c>
      <c r="O10" s="276">
        <v>88450.641955262501</v>
      </c>
      <c r="P10" s="73"/>
      <c r="Q10" s="121"/>
      <c r="R10" s="121"/>
    </row>
    <row r="11" spans="2:22" x14ac:dyDescent="0.25">
      <c r="B11" t="s">
        <v>65</v>
      </c>
      <c r="C11" s="88">
        <v>29959.2521705537</v>
      </c>
      <c r="D11" s="89">
        <v>32677.287814522198</v>
      </c>
      <c r="E11" s="89">
        <v>36732.482213135401</v>
      </c>
      <c r="F11" s="87">
        <v>34673.399926345497</v>
      </c>
      <c r="G11" s="90">
        <v>37328.364480133299</v>
      </c>
      <c r="H11" s="90">
        <v>39105.649980877497</v>
      </c>
      <c r="I11" s="120">
        <v>41064.745289003295</v>
      </c>
      <c r="J11" s="72">
        <v>37709.211331321101</v>
      </c>
      <c r="K11" s="150">
        <v>41300.120720268002</v>
      </c>
      <c r="L11" s="73">
        <v>41306.431006901694</v>
      </c>
      <c r="M11" s="121">
        <v>39401.204245073102</v>
      </c>
      <c r="N11" s="121">
        <v>37793.193076102005</v>
      </c>
      <c r="O11" s="276">
        <v>38782.596303158702</v>
      </c>
      <c r="P11" s="73"/>
      <c r="Q11" s="121"/>
      <c r="R11" s="121"/>
    </row>
    <row r="12" spans="2:22" x14ac:dyDescent="0.25">
      <c r="B12" t="s">
        <v>66</v>
      </c>
      <c r="C12" s="88">
        <v>14478.893668780489</v>
      </c>
      <c r="D12" s="89">
        <v>15010.163596924298</v>
      </c>
      <c r="E12" s="89">
        <v>19564.606858434101</v>
      </c>
      <c r="F12" s="87">
        <v>19840.530959685097</v>
      </c>
      <c r="G12" s="89">
        <v>18965.3458514718</v>
      </c>
      <c r="H12" s="89">
        <v>18129.466564930302</v>
      </c>
      <c r="I12" s="121">
        <v>17414.8362111514</v>
      </c>
      <c r="J12" s="73">
        <v>14892.1423541556</v>
      </c>
      <c r="K12" s="150">
        <v>14255.540939159</v>
      </c>
      <c r="L12" s="73">
        <v>16324.533193301681</v>
      </c>
      <c r="M12" s="121">
        <v>14104.62056277838</v>
      </c>
      <c r="N12" s="121">
        <v>13111.3349772207</v>
      </c>
      <c r="O12" s="276">
        <v>18991.456646766845</v>
      </c>
      <c r="P12" s="73"/>
      <c r="Q12" s="121"/>
      <c r="R12" s="121"/>
    </row>
    <row r="13" spans="2:22" s="2" customFormat="1" x14ac:dyDescent="0.25">
      <c r="B13" s="22" t="s">
        <v>67</v>
      </c>
      <c r="C13" s="91">
        <f t="shared" ref="C13:I13" si="0">SUM(C6:C12)</f>
        <v>501138.6878366631</v>
      </c>
      <c r="D13" s="92">
        <f t="shared" si="0"/>
        <v>520503.52651239588</v>
      </c>
      <c r="E13" s="92">
        <f t="shared" si="0"/>
        <v>525208.09315161326</v>
      </c>
      <c r="F13" s="93">
        <f t="shared" si="0"/>
        <v>531976.38997592253</v>
      </c>
      <c r="G13" s="92">
        <f t="shared" si="0"/>
        <v>529918.99109132867</v>
      </c>
      <c r="H13" s="92">
        <f t="shared" si="0"/>
        <v>532122.45318341535</v>
      </c>
      <c r="I13" s="122">
        <f t="shared" si="0"/>
        <v>523704.93771855941</v>
      </c>
      <c r="J13" s="75">
        <f>SUM(J6:J12)</f>
        <v>533149.28459459706</v>
      </c>
      <c r="K13" s="165">
        <f t="shared" ref="K13:M13" si="1">SUM(K6:K12)</f>
        <v>536404.75917958072</v>
      </c>
      <c r="L13" s="75">
        <f t="shared" si="1"/>
        <v>548896.37583031086</v>
      </c>
      <c r="M13" s="122">
        <f t="shared" si="1"/>
        <v>553677.27702625201</v>
      </c>
      <c r="N13" s="122">
        <f>SUM(N6:N12)</f>
        <v>590690.78335677739</v>
      </c>
      <c r="O13" s="277">
        <f t="shared" ref="O13:Q13" si="2">SUM(O6:O12)</f>
        <v>606582.38442036707</v>
      </c>
      <c r="P13" s="75">
        <f t="shared" si="2"/>
        <v>0</v>
      </c>
      <c r="Q13" s="122">
        <f t="shared" si="2"/>
        <v>0</v>
      </c>
      <c r="R13" s="122">
        <f>SUM(R6:R12)</f>
        <v>0</v>
      </c>
    </row>
    <row r="14" spans="2:22" x14ac:dyDescent="0.25">
      <c r="C14" s="94"/>
      <c r="D14" s="95"/>
      <c r="E14" s="95"/>
      <c r="F14" s="96"/>
      <c r="G14" s="95"/>
      <c r="H14" s="95"/>
      <c r="I14" s="120"/>
      <c r="J14" s="72"/>
      <c r="K14" s="179"/>
      <c r="L14" s="187"/>
      <c r="M14" s="202"/>
      <c r="N14" s="202"/>
      <c r="O14" s="278"/>
      <c r="P14" s="187"/>
      <c r="Q14" s="202"/>
      <c r="R14" s="202"/>
    </row>
    <row r="15" spans="2:22" x14ac:dyDescent="0.25">
      <c r="B15" t="s">
        <v>68</v>
      </c>
      <c r="C15" s="88">
        <v>154571.58577400498</v>
      </c>
      <c r="D15" s="89">
        <v>162640.36783033301</v>
      </c>
      <c r="E15" s="89">
        <v>180069.09807515601</v>
      </c>
      <c r="F15" s="87">
        <v>187207.47624908798</v>
      </c>
      <c r="G15" s="90">
        <v>195546.76620647401</v>
      </c>
      <c r="H15" s="90">
        <v>202706.11792836498</v>
      </c>
      <c r="I15" s="120">
        <v>206323.55180119802</v>
      </c>
      <c r="J15" s="72">
        <v>192188.66452453699</v>
      </c>
      <c r="K15" s="150">
        <v>198792.392915</v>
      </c>
      <c r="L15" s="73">
        <v>199367.033864172</v>
      </c>
      <c r="M15" s="121">
        <v>191077.14082335902</v>
      </c>
      <c r="N15" s="121">
        <v>197934.11209966999</v>
      </c>
      <c r="O15" s="276">
        <v>206534.55878481999</v>
      </c>
      <c r="P15" s="73"/>
      <c r="Q15" s="121"/>
      <c r="R15" s="121"/>
      <c r="V15" s="110"/>
    </row>
    <row r="16" spans="2:22" x14ac:dyDescent="0.25">
      <c r="B16" t="s">
        <v>69</v>
      </c>
      <c r="C16" s="88">
        <v>97951.586999080697</v>
      </c>
      <c r="D16" s="89">
        <v>94169.212186636694</v>
      </c>
      <c r="E16" s="89">
        <v>105064.92858466</v>
      </c>
      <c r="F16" s="87">
        <v>102197.460211007</v>
      </c>
      <c r="G16" s="90">
        <v>96765.373269508491</v>
      </c>
      <c r="H16" s="90">
        <v>101174.845699111</v>
      </c>
      <c r="I16" s="120">
        <v>107922.59740678599</v>
      </c>
      <c r="J16" s="72">
        <v>110242.70305312601</v>
      </c>
      <c r="K16" s="150">
        <v>113684.58914359901</v>
      </c>
      <c r="L16" s="73">
        <v>106597.38367949901</v>
      </c>
      <c r="M16" s="121">
        <v>114759.793481848</v>
      </c>
      <c r="N16" s="121">
        <v>120225.89405461799</v>
      </c>
      <c r="O16" s="276">
        <v>122184.48496079599</v>
      </c>
      <c r="P16" s="73"/>
      <c r="Q16" s="121"/>
      <c r="R16" s="121"/>
    </row>
    <row r="17" spans="2:18" x14ac:dyDescent="0.25">
      <c r="B17" t="s">
        <v>70</v>
      </c>
      <c r="C17" s="88">
        <v>100543.762794423</v>
      </c>
      <c r="D17" s="89">
        <v>119259.14869782899</v>
      </c>
      <c r="E17" s="89">
        <v>103652</v>
      </c>
      <c r="F17" s="87">
        <v>109214</v>
      </c>
      <c r="G17" s="90">
        <v>106300.89243681601</v>
      </c>
      <c r="H17" s="90">
        <v>111344.79448149499</v>
      </c>
      <c r="I17" s="120">
        <v>118402.314322677</v>
      </c>
      <c r="J17" s="72">
        <v>113720.452335757</v>
      </c>
      <c r="K17" s="150">
        <v>112123.26750564399</v>
      </c>
      <c r="L17" s="73">
        <v>116459.52304042201</v>
      </c>
      <c r="M17" s="121">
        <v>128872.061519005</v>
      </c>
      <c r="N17" s="121">
        <v>118508.075597619</v>
      </c>
      <c r="O17" s="276">
        <v>122229.20169648001</v>
      </c>
      <c r="P17" s="73"/>
      <c r="Q17" s="121"/>
      <c r="R17" s="121"/>
    </row>
    <row r="18" spans="2:18" x14ac:dyDescent="0.25">
      <c r="B18" t="s">
        <v>71</v>
      </c>
      <c r="C18" s="88">
        <v>22566.773414590101</v>
      </c>
      <c r="D18" s="89">
        <v>24286.564302481598</v>
      </c>
      <c r="E18" s="89">
        <v>24831.140066929998</v>
      </c>
      <c r="F18" s="87">
        <v>25883.4</v>
      </c>
      <c r="G18" s="89">
        <v>15913.1543536108</v>
      </c>
      <c r="H18" s="89">
        <v>15423.473297279001</v>
      </c>
      <c r="I18" s="121">
        <v>28675.916559309899</v>
      </c>
      <c r="J18" s="73">
        <v>13308.478943017901</v>
      </c>
      <c r="K18" s="150">
        <v>19895.1774848479</v>
      </c>
      <c r="L18" s="73">
        <v>18052.212107567899</v>
      </c>
      <c r="M18" s="121">
        <v>21325.0046772895</v>
      </c>
      <c r="N18" s="121">
        <v>28052.359167686998</v>
      </c>
      <c r="O18" s="276">
        <v>31016.5181628379</v>
      </c>
      <c r="P18" s="73"/>
      <c r="Q18" s="121"/>
      <c r="R18" s="121"/>
    </row>
    <row r="19" spans="2:18" s="2" customFormat="1" x14ac:dyDescent="0.25">
      <c r="B19" s="22" t="s">
        <v>72</v>
      </c>
      <c r="C19" s="91">
        <f t="shared" ref="C19:I19" si="3">SUM(C15:C18)</f>
        <v>375633.70898209879</v>
      </c>
      <c r="D19" s="92">
        <f t="shared" si="3"/>
        <v>400355.29301728029</v>
      </c>
      <c r="E19" s="92">
        <f t="shared" si="3"/>
        <v>413617.16672674601</v>
      </c>
      <c r="F19" s="93">
        <f t="shared" si="3"/>
        <v>424502.33646009502</v>
      </c>
      <c r="G19" s="92">
        <f t="shared" si="3"/>
        <v>414526.18626640935</v>
      </c>
      <c r="H19" s="92">
        <f t="shared" si="3"/>
        <v>430649.23140624998</v>
      </c>
      <c r="I19" s="122">
        <f t="shared" si="3"/>
        <v>461324.38008997083</v>
      </c>
      <c r="J19" s="75">
        <f>SUM(J15:J18)</f>
        <v>429460.2988564379</v>
      </c>
      <c r="K19" s="165">
        <f t="shared" ref="K19:M19" si="4">SUM(K15:K18)</f>
        <v>444495.42704909091</v>
      </c>
      <c r="L19" s="75">
        <f t="shared" si="4"/>
        <v>440476.15269166086</v>
      </c>
      <c r="M19" s="122">
        <f t="shared" si="4"/>
        <v>456034.00050150149</v>
      </c>
      <c r="N19" s="122">
        <f>SUM(N15:N18)</f>
        <v>464720.44091959397</v>
      </c>
      <c r="O19" s="277">
        <f t="shared" ref="O19:Q19" si="5">SUM(O15:O18)</f>
        <v>481964.76360493392</v>
      </c>
      <c r="P19" s="75">
        <f t="shared" si="5"/>
        <v>0</v>
      </c>
      <c r="Q19" s="122">
        <f t="shared" si="5"/>
        <v>0</v>
      </c>
      <c r="R19" s="122">
        <f>SUM(R15:R18)</f>
        <v>0</v>
      </c>
    </row>
    <row r="20" spans="2:18" x14ac:dyDescent="0.25">
      <c r="B20" s="61"/>
      <c r="C20" s="94"/>
      <c r="D20" s="95"/>
      <c r="E20" s="95"/>
      <c r="F20" s="96"/>
      <c r="G20" s="97"/>
      <c r="H20" s="95"/>
      <c r="I20" s="120"/>
      <c r="J20" s="72"/>
      <c r="K20" s="180"/>
      <c r="L20" s="188"/>
      <c r="M20" s="203"/>
      <c r="N20" s="203"/>
      <c r="O20" s="279"/>
      <c r="P20" s="188"/>
      <c r="Q20" s="203"/>
      <c r="R20" s="203"/>
    </row>
    <row r="21" spans="2:18" s="2" customFormat="1" ht="15.75" thickBot="1" x14ac:dyDescent="0.3">
      <c r="B21" s="35" t="s">
        <v>73</v>
      </c>
      <c r="C21" s="98">
        <f t="shared" ref="C21:I21" si="6">+C13+C19</f>
        <v>876772.39681876195</v>
      </c>
      <c r="D21" s="99">
        <f t="shared" si="6"/>
        <v>920858.81952967611</v>
      </c>
      <c r="E21" s="99">
        <f t="shared" si="6"/>
        <v>938825.25987835927</v>
      </c>
      <c r="F21" s="100">
        <f t="shared" si="6"/>
        <v>956478.72643601755</v>
      </c>
      <c r="G21" s="99">
        <f t="shared" si="6"/>
        <v>944445.17735773802</v>
      </c>
      <c r="H21" s="99">
        <f t="shared" si="6"/>
        <v>962771.68458966538</v>
      </c>
      <c r="I21" s="123">
        <f t="shared" si="6"/>
        <v>985029.31780853029</v>
      </c>
      <c r="J21" s="153">
        <f>+J13+J19</f>
        <v>962609.58345103497</v>
      </c>
      <c r="K21" s="181">
        <f t="shared" ref="K21:M21" si="7">+K13+K19</f>
        <v>980900.18622867158</v>
      </c>
      <c r="L21" s="153">
        <f t="shared" si="7"/>
        <v>989372.52852197178</v>
      </c>
      <c r="M21" s="123">
        <f t="shared" si="7"/>
        <v>1009711.2775277535</v>
      </c>
      <c r="N21" s="123">
        <f>+N13+N19</f>
        <v>1055411.2242763713</v>
      </c>
      <c r="O21" s="280">
        <f t="shared" ref="O21:Q21" si="8">+O13+O19</f>
        <v>1088547.1480253011</v>
      </c>
      <c r="P21" s="153">
        <f t="shared" si="8"/>
        <v>0</v>
      </c>
      <c r="Q21" s="123">
        <f t="shared" si="8"/>
        <v>0</v>
      </c>
      <c r="R21" s="123">
        <f>+R13+R19</f>
        <v>0</v>
      </c>
    </row>
    <row r="22" spans="2:18" x14ac:dyDescent="0.25">
      <c r="B22" s="62"/>
      <c r="C22" s="101"/>
      <c r="D22" s="102"/>
      <c r="E22" s="102"/>
      <c r="F22" s="103"/>
      <c r="G22" s="102"/>
      <c r="H22" s="102"/>
      <c r="I22" s="124"/>
      <c r="J22" s="154"/>
      <c r="K22" s="182"/>
      <c r="L22" s="189"/>
      <c r="M22" s="204"/>
      <c r="N22" s="204"/>
      <c r="O22" s="281"/>
      <c r="P22" s="189"/>
      <c r="Q22" s="204"/>
      <c r="R22" s="204"/>
    </row>
    <row r="23" spans="2:18" x14ac:dyDescent="0.25">
      <c r="B23" t="s">
        <v>74</v>
      </c>
      <c r="C23" s="88">
        <v>252740.95199023694</v>
      </c>
      <c r="D23" s="89">
        <v>250199.23052747792</v>
      </c>
      <c r="E23" s="89">
        <v>263601.68271018699</v>
      </c>
      <c r="F23" s="87">
        <v>259490.58217567269</v>
      </c>
      <c r="G23" s="90">
        <v>274416.945801439</v>
      </c>
      <c r="H23" s="90">
        <v>273912.028681433</v>
      </c>
      <c r="I23" s="120">
        <v>297960.88201787899</v>
      </c>
      <c r="J23" s="72">
        <v>306252.57022800029</v>
      </c>
      <c r="K23" s="150">
        <v>332042.74278429803</v>
      </c>
      <c r="L23" s="73">
        <v>314968.586679295</v>
      </c>
      <c r="M23" s="121">
        <v>319432.22055744199</v>
      </c>
      <c r="N23" s="121">
        <v>342052.00577218097</v>
      </c>
      <c r="O23" s="276">
        <v>352542.08683554298</v>
      </c>
      <c r="P23" s="73"/>
      <c r="Q23" s="121"/>
      <c r="R23" s="121"/>
    </row>
    <row r="24" spans="2:18" x14ac:dyDescent="0.25">
      <c r="B24" t="s">
        <v>75</v>
      </c>
      <c r="C24" s="88">
        <v>0</v>
      </c>
      <c r="D24" s="89">
        <v>8998.944480331822</v>
      </c>
      <c r="E24" s="89">
        <v>9222.9774101310886</v>
      </c>
      <c r="F24" s="87">
        <v>8476.631662268459</v>
      </c>
      <c r="G24" s="90">
        <v>9039.1876542155405</v>
      </c>
      <c r="H24" s="90">
        <v>9565.2921546796715</v>
      </c>
      <c r="I24" s="120">
        <v>9580.4362256797194</v>
      </c>
      <c r="J24" s="72">
        <v>9042.94742570577</v>
      </c>
      <c r="K24" s="150">
        <v>9559.7798767963995</v>
      </c>
      <c r="L24" s="73">
        <v>10315.002972783399</v>
      </c>
      <c r="M24" s="121">
        <v>10225.0312323424</v>
      </c>
      <c r="N24" s="121">
        <v>10599.9710437141</v>
      </c>
      <c r="O24" s="276">
        <v>10585.616977810399</v>
      </c>
      <c r="P24" s="73"/>
      <c r="Q24" s="121"/>
      <c r="R24" s="121"/>
    </row>
    <row r="25" spans="2:18" s="2" customFormat="1" x14ac:dyDescent="0.25">
      <c r="B25" s="22" t="s">
        <v>76</v>
      </c>
      <c r="C25" s="91">
        <f>SUM(C23:C24)</f>
        <v>252740.95199023694</v>
      </c>
      <c r="D25" s="92">
        <f t="shared" ref="D25:I25" si="9">SUM(D23:D24)</f>
        <v>259198.17500780974</v>
      </c>
      <c r="E25" s="92">
        <f t="shared" si="9"/>
        <v>272824.66012031806</v>
      </c>
      <c r="F25" s="93">
        <f t="shared" si="9"/>
        <v>267967.21383794118</v>
      </c>
      <c r="G25" s="92">
        <f t="shared" si="9"/>
        <v>283456.13345565455</v>
      </c>
      <c r="H25" s="92">
        <f t="shared" si="9"/>
        <v>283477.32083611266</v>
      </c>
      <c r="I25" s="122">
        <f t="shared" si="9"/>
        <v>307541.31824355869</v>
      </c>
      <c r="J25" s="75">
        <f>SUM(J23:J24)</f>
        <v>315295.51765370608</v>
      </c>
      <c r="K25" s="165">
        <f t="shared" ref="K25:M25" si="10">SUM(K23:K24)</f>
        <v>341602.52266109444</v>
      </c>
      <c r="L25" s="75">
        <f t="shared" si="10"/>
        <v>325283.5896520784</v>
      </c>
      <c r="M25" s="122">
        <f t="shared" si="10"/>
        <v>329657.25178978441</v>
      </c>
      <c r="N25" s="122">
        <f>SUM(N23:N24)</f>
        <v>352651.97681589506</v>
      </c>
      <c r="O25" s="277">
        <f t="shared" ref="O25:Q25" si="11">SUM(O23:O24)</f>
        <v>363127.70381335338</v>
      </c>
      <c r="P25" s="75">
        <f t="shared" si="11"/>
        <v>0</v>
      </c>
      <c r="Q25" s="122">
        <f t="shared" si="11"/>
        <v>0</v>
      </c>
      <c r="R25" s="122">
        <f>SUM(R23:R24)</f>
        <v>0</v>
      </c>
    </row>
    <row r="26" spans="2:18" x14ac:dyDescent="0.25">
      <c r="C26" s="94"/>
      <c r="D26" s="95"/>
      <c r="E26" s="95"/>
      <c r="F26" s="96"/>
      <c r="G26" s="95"/>
      <c r="H26" s="95"/>
      <c r="I26" s="120"/>
      <c r="J26" s="72"/>
      <c r="K26" s="179"/>
      <c r="L26" s="187"/>
      <c r="M26" s="202"/>
      <c r="N26" s="202"/>
      <c r="O26" s="278"/>
      <c r="P26" s="187"/>
      <c r="Q26" s="202"/>
      <c r="R26" s="202"/>
    </row>
    <row r="27" spans="2:18" x14ac:dyDescent="0.25">
      <c r="B27" t="s">
        <v>77</v>
      </c>
      <c r="C27" s="88">
        <v>2603.25795450333</v>
      </c>
      <c r="D27" s="89">
        <v>2445.8545060064603</v>
      </c>
      <c r="E27" s="89">
        <v>2386.2817248347401</v>
      </c>
      <c r="F27" s="87">
        <v>2668.3577393268301</v>
      </c>
      <c r="G27" s="90">
        <v>2470.5939928859998</v>
      </c>
      <c r="H27" s="90">
        <v>2392.1822437371202</v>
      </c>
      <c r="I27" s="120">
        <v>2449.58095363344</v>
      </c>
      <c r="J27" s="72">
        <v>2502.0462900129901</v>
      </c>
      <c r="K27" s="150">
        <v>2398.3972167301804</v>
      </c>
      <c r="L27" s="73">
        <v>2422.1205332694999</v>
      </c>
      <c r="M27" s="121">
        <v>2314.4169465916398</v>
      </c>
      <c r="N27" s="121">
        <v>2221.4048219819001</v>
      </c>
      <c r="O27" s="276">
        <v>2238.2462139620902</v>
      </c>
      <c r="P27" s="73"/>
      <c r="Q27" s="121"/>
      <c r="R27" s="121"/>
    </row>
    <row r="28" spans="2:18" x14ac:dyDescent="0.25">
      <c r="B28" t="s">
        <v>78</v>
      </c>
      <c r="C28" s="88">
        <v>18627.988687011901</v>
      </c>
      <c r="D28" s="89">
        <v>18945.301903224801</v>
      </c>
      <c r="E28" s="89">
        <v>18498.5678559074</v>
      </c>
      <c r="F28" s="87">
        <v>17240.2669644245</v>
      </c>
      <c r="G28" s="90">
        <v>16921.2271905692</v>
      </c>
      <c r="H28" s="90">
        <v>16895.389163953401</v>
      </c>
      <c r="I28" s="120">
        <v>16870.180591399498</v>
      </c>
      <c r="J28" s="72">
        <v>14041.2075901712</v>
      </c>
      <c r="K28" s="150">
        <v>13967.950033712299</v>
      </c>
      <c r="L28" s="73">
        <v>13904.564733044899</v>
      </c>
      <c r="M28" s="121">
        <v>13494.541707697899</v>
      </c>
      <c r="N28" s="121">
        <v>14577.835549074201</v>
      </c>
      <c r="O28" s="276">
        <v>14157.2589402376</v>
      </c>
      <c r="P28" s="73"/>
      <c r="Q28" s="121"/>
      <c r="R28" s="121"/>
    </row>
    <row r="29" spans="2:18" x14ac:dyDescent="0.25">
      <c r="B29" t="s">
        <v>200</v>
      </c>
      <c r="C29" s="88">
        <v>254533.318</v>
      </c>
      <c r="D29" s="89">
        <v>304233.31699999998</v>
      </c>
      <c r="E29" s="89">
        <v>284333.31599999999</v>
      </c>
      <c r="F29" s="87">
        <v>304033.315</v>
      </c>
      <c r="G29" s="90">
        <v>284133.31400000001</v>
      </c>
      <c r="H29" s="90">
        <v>289233.31299764401</v>
      </c>
      <c r="I29" s="120">
        <v>259333.31199761201</v>
      </c>
      <c r="J29" s="72">
        <v>224433.310997717</v>
      </c>
      <c r="K29" s="150">
        <v>204533.30999767198</v>
      </c>
      <c r="L29" s="73">
        <v>217743.588167968</v>
      </c>
      <c r="M29" s="121">
        <v>232708.15930417599</v>
      </c>
      <c r="N29" s="121">
        <v>259740.12888999999</v>
      </c>
      <c r="O29" s="276">
        <v>288005.75488000002</v>
      </c>
      <c r="P29" s="73"/>
      <c r="Q29" s="121"/>
      <c r="R29" s="121"/>
    </row>
    <row r="30" spans="2:18" hidden="1" outlineLevel="1" x14ac:dyDescent="0.25">
      <c r="B30" t="s">
        <v>164</v>
      </c>
      <c r="C30" s="88">
        <v>0</v>
      </c>
      <c r="D30" s="89">
        <v>0</v>
      </c>
      <c r="E30" s="89">
        <v>0</v>
      </c>
      <c r="F30" s="87">
        <v>0</v>
      </c>
      <c r="G30" s="88">
        <v>0</v>
      </c>
      <c r="H30" s="89">
        <v>0</v>
      </c>
      <c r="I30" s="89">
        <v>0</v>
      </c>
      <c r="J30" s="87">
        <v>0</v>
      </c>
      <c r="K30" s="150">
        <v>0</v>
      </c>
      <c r="L30" s="73">
        <v>0</v>
      </c>
      <c r="M30" s="121">
        <v>0</v>
      </c>
      <c r="N30" s="121">
        <v>0</v>
      </c>
      <c r="O30" s="276"/>
      <c r="P30" s="73"/>
      <c r="Q30" s="121"/>
      <c r="R30" s="121"/>
    </row>
    <row r="31" spans="2:18" collapsed="1" x14ac:dyDescent="0.25">
      <c r="B31" t="s">
        <v>79</v>
      </c>
      <c r="C31" s="88">
        <v>61204.865093860593</v>
      </c>
      <c r="D31" s="89">
        <v>64752.540844104202</v>
      </c>
      <c r="E31" s="89">
        <v>59988.456384993202</v>
      </c>
      <c r="F31" s="87">
        <v>73535.801273878693</v>
      </c>
      <c r="G31" s="90">
        <v>74349.418221702988</v>
      </c>
      <c r="H31" s="90">
        <v>78058.7082957846</v>
      </c>
      <c r="I31" s="120">
        <v>77756.444136943101</v>
      </c>
      <c r="J31" s="72">
        <v>78424.141820229503</v>
      </c>
      <c r="K31" s="150">
        <v>80923.695913487492</v>
      </c>
      <c r="L31" s="73">
        <v>85385.591031925302</v>
      </c>
      <c r="M31" s="121">
        <v>83088.005116538494</v>
      </c>
      <c r="N31" s="121">
        <v>83219.408435866397</v>
      </c>
      <c r="O31" s="276">
        <v>79842.300471441195</v>
      </c>
      <c r="P31" s="73"/>
      <c r="Q31" s="121"/>
      <c r="R31" s="121"/>
    </row>
    <row r="32" spans="2:18" x14ac:dyDescent="0.25">
      <c r="B32" t="s">
        <v>80</v>
      </c>
      <c r="C32" s="88">
        <v>1467.924153212909</v>
      </c>
      <c r="D32" s="89">
        <v>2167.2498881496099</v>
      </c>
      <c r="E32" s="89">
        <v>2649.3811942065936</v>
      </c>
      <c r="F32" s="87">
        <v>1866.7410174509528</v>
      </c>
      <c r="G32" s="90">
        <v>2686.1364682758904</v>
      </c>
      <c r="H32" s="90">
        <v>4928.1026851463002</v>
      </c>
      <c r="I32" s="120">
        <v>4971.5172006984994</v>
      </c>
      <c r="J32" s="72">
        <v>5033.4201694008489</v>
      </c>
      <c r="K32" s="150">
        <v>4292.7527435640022</v>
      </c>
      <c r="L32" s="73">
        <v>4256.673361830166</v>
      </c>
      <c r="M32" s="121">
        <v>8970.7131859759502</v>
      </c>
      <c r="N32" s="121">
        <v>9216.2126015651593</v>
      </c>
      <c r="O32" s="276">
        <v>3921.7005668700499</v>
      </c>
      <c r="P32" s="73"/>
      <c r="Q32" s="121"/>
      <c r="R32" s="121"/>
    </row>
    <row r="33" spans="2:18" s="2" customFormat="1" x14ac:dyDescent="0.25">
      <c r="B33" s="22" t="s">
        <v>81</v>
      </c>
      <c r="C33" s="91">
        <f>SUM(C27:C32)</f>
        <v>338437.35388858878</v>
      </c>
      <c r="D33" s="92">
        <f t="shared" ref="D33:I33" si="12">SUM(D27:D32)</f>
        <v>392544.26414148504</v>
      </c>
      <c r="E33" s="92">
        <f t="shared" si="12"/>
        <v>367856.00315994193</v>
      </c>
      <c r="F33" s="93">
        <f t="shared" si="12"/>
        <v>399344.48199508095</v>
      </c>
      <c r="G33" s="92">
        <f t="shared" si="12"/>
        <v>380560.68987343408</v>
      </c>
      <c r="H33" s="92">
        <f t="shared" si="12"/>
        <v>391507.69538626546</v>
      </c>
      <c r="I33" s="122">
        <f t="shared" si="12"/>
        <v>361381.03488028655</v>
      </c>
      <c r="J33" s="75">
        <f>SUM(J27:J32)</f>
        <v>324434.12686753157</v>
      </c>
      <c r="K33" s="165">
        <f t="shared" ref="K33:M33" si="13">SUM(K27:K32)</f>
        <v>306116.10590516595</v>
      </c>
      <c r="L33" s="75">
        <f t="shared" si="13"/>
        <v>323712.53782803786</v>
      </c>
      <c r="M33" s="122">
        <f t="shared" si="13"/>
        <v>340575.83626098</v>
      </c>
      <c r="N33" s="122">
        <f>SUM(N27:N32)</f>
        <v>368974.99029848765</v>
      </c>
      <c r="O33" s="277">
        <f t="shared" ref="O33:Q33" si="14">SUM(O27:O32)</f>
        <v>388165.26107251091</v>
      </c>
      <c r="P33" s="75">
        <f t="shared" si="14"/>
        <v>0</v>
      </c>
      <c r="Q33" s="122">
        <f t="shared" si="14"/>
        <v>0</v>
      </c>
      <c r="R33" s="122">
        <f>SUM(R27:R32)</f>
        <v>0</v>
      </c>
    </row>
    <row r="34" spans="2:18" x14ac:dyDescent="0.25">
      <c r="C34" s="94"/>
      <c r="D34" s="95"/>
      <c r="E34" s="95"/>
      <c r="F34" s="96"/>
      <c r="G34" s="95"/>
      <c r="H34" s="95"/>
      <c r="I34" s="120"/>
      <c r="J34" s="72"/>
      <c r="K34" s="179"/>
      <c r="L34" s="187"/>
      <c r="M34" s="202"/>
      <c r="N34" s="202"/>
      <c r="O34" s="278"/>
      <c r="P34" s="187"/>
      <c r="Q34" s="202"/>
      <c r="R34" s="202"/>
    </row>
    <row r="35" spans="2:18" x14ac:dyDescent="0.25">
      <c r="B35" t="s">
        <v>199</v>
      </c>
      <c r="C35" s="88">
        <v>29571.752523544699</v>
      </c>
      <c r="D35" s="89">
        <v>1691.23823668912</v>
      </c>
      <c r="E35" s="89">
        <v>12713.2034602557</v>
      </c>
      <c r="F35" s="87">
        <v>21682.053034821303</v>
      </c>
      <c r="G35" s="90">
        <v>6629.7572434756894</v>
      </c>
      <c r="H35" s="90">
        <v>14830.597453476601</v>
      </c>
      <c r="I35" s="120">
        <v>20793.776960183801</v>
      </c>
      <c r="J35" s="72">
        <v>19333.4038758321</v>
      </c>
      <c r="K35" s="150">
        <v>23184.3670323316</v>
      </c>
      <c r="L35" s="73">
        <v>29681.958272761301</v>
      </c>
      <c r="M35" s="121">
        <v>52907.884445765696</v>
      </c>
      <c r="N35" s="121">
        <v>30383.287937899102</v>
      </c>
      <c r="O35" s="276">
        <v>41674.154200618803</v>
      </c>
      <c r="P35" s="73"/>
      <c r="Q35" s="121"/>
      <c r="R35" s="121"/>
    </row>
    <row r="36" spans="2:18" ht="15.75" x14ac:dyDescent="0.25">
      <c r="B36" t="s">
        <v>197</v>
      </c>
      <c r="C36" s="88">
        <v>44918</v>
      </c>
      <c r="D36" s="89">
        <v>45181</v>
      </c>
      <c r="E36" s="89">
        <v>41325</v>
      </c>
      <c r="F36" s="87">
        <v>38341</v>
      </c>
      <c r="G36" s="90">
        <v>45028</v>
      </c>
      <c r="H36" s="90">
        <v>46401</v>
      </c>
      <c r="I36" s="120">
        <v>43077</v>
      </c>
      <c r="J36" s="72">
        <v>40466</v>
      </c>
      <c r="K36" s="150">
        <v>45438</v>
      </c>
      <c r="L36" s="73">
        <v>44743</v>
      </c>
      <c r="M36" s="121">
        <v>45427</v>
      </c>
      <c r="N36" s="121">
        <v>39782.440305930002</v>
      </c>
      <c r="O36" s="276">
        <v>45387</v>
      </c>
      <c r="P36" s="73"/>
      <c r="Q36" s="121"/>
      <c r="R36" s="121"/>
    </row>
    <row r="37" spans="2:18" x14ac:dyDescent="0.25">
      <c r="B37" t="s">
        <v>82</v>
      </c>
      <c r="C37" s="88">
        <f>119031.140023085-C36</f>
        <v>74113.140023084998</v>
      </c>
      <c r="D37" s="89">
        <f>137115.218792687-D36</f>
        <v>91934.218792686996</v>
      </c>
      <c r="E37" s="89">
        <f>142283.772546895-E36</f>
        <v>100958.77254689499</v>
      </c>
      <c r="F37" s="87">
        <f>124038.345385512-F36</f>
        <v>85697.345385512002</v>
      </c>
      <c r="G37" s="90">
        <f>118659.59273761-G36</f>
        <v>73631.592737610001</v>
      </c>
      <c r="H37" s="90">
        <f>109026.317853696-H36</f>
        <v>62625.317853696004</v>
      </c>
      <c r="I37" s="120">
        <f>112634.268112327-I36</f>
        <v>69557.268112327001</v>
      </c>
      <c r="J37" s="72">
        <f>127846.984582251-J36</f>
        <v>87380.984582250996</v>
      </c>
      <c r="K37" s="150">
        <f>129507.06162043-K36</f>
        <v>84069.061620430002</v>
      </c>
      <c r="L37" s="73">
        <f>132575.044527603-L36</f>
        <v>87832.044527602993</v>
      </c>
      <c r="M37" s="121">
        <f>116378.122068872-M36</f>
        <v>70951.122068872006</v>
      </c>
      <c r="N37" s="121">
        <v>73304.184808071412</v>
      </c>
      <c r="O37" s="276">
        <v>70585.747997918908</v>
      </c>
      <c r="P37" s="73"/>
      <c r="Q37" s="121"/>
      <c r="R37" s="121"/>
    </row>
    <row r="38" spans="2:18" x14ac:dyDescent="0.25">
      <c r="B38" t="s">
        <v>83</v>
      </c>
      <c r="C38" s="88">
        <v>4282.90047849861</v>
      </c>
      <c r="D38" s="89">
        <v>2577.5030600853502</v>
      </c>
      <c r="E38" s="89">
        <v>2235.3424377321098</v>
      </c>
      <c r="F38" s="87">
        <v>2197.5751873200202</v>
      </c>
      <c r="G38" s="90">
        <v>2644.4801081516503</v>
      </c>
      <c r="H38" s="90">
        <v>1182.92471338466</v>
      </c>
      <c r="I38" s="120">
        <v>5914.7603410434303</v>
      </c>
      <c r="J38" s="72">
        <v>6997.2676800347399</v>
      </c>
      <c r="K38" s="150">
        <v>938.12889190951091</v>
      </c>
      <c r="L38" s="73">
        <v>331.09052493431</v>
      </c>
      <c r="M38" s="121">
        <v>920.78049741633299</v>
      </c>
      <c r="N38" s="121">
        <v>5294.3140338782396</v>
      </c>
      <c r="O38" s="276">
        <v>8894.9730544161193</v>
      </c>
      <c r="P38" s="73"/>
      <c r="Q38" s="121"/>
      <c r="R38" s="121"/>
    </row>
    <row r="39" spans="2:18" x14ac:dyDescent="0.25">
      <c r="B39" t="s">
        <v>84</v>
      </c>
      <c r="C39" s="88">
        <v>20476.436098526399</v>
      </c>
      <c r="D39" s="89">
        <v>24044.8688740861</v>
      </c>
      <c r="E39" s="89">
        <v>24671.312709483998</v>
      </c>
      <c r="F39" s="87">
        <v>22681.880624633402</v>
      </c>
      <c r="G39" s="90">
        <v>26646.1966506838</v>
      </c>
      <c r="H39" s="90">
        <v>25229.4423519425</v>
      </c>
      <c r="I39" s="120">
        <v>27952.673685292502</v>
      </c>
      <c r="J39" s="72">
        <v>25066.324598684401</v>
      </c>
      <c r="K39" s="150">
        <v>26031.2894539798</v>
      </c>
      <c r="L39" s="73">
        <v>24533.392928106299</v>
      </c>
      <c r="M39" s="121">
        <v>23440.644565245402</v>
      </c>
      <c r="N39" s="121">
        <v>25951.990705575601</v>
      </c>
      <c r="O39" s="276">
        <v>27798.199439910699</v>
      </c>
      <c r="P39" s="73"/>
      <c r="Q39" s="121"/>
      <c r="R39" s="121"/>
    </row>
    <row r="40" spans="2:18" x14ac:dyDescent="0.25">
      <c r="B40" t="s">
        <v>85</v>
      </c>
      <c r="C40" s="88">
        <v>16624.998023773802</v>
      </c>
      <c r="D40" s="89">
        <v>16162.1985144882</v>
      </c>
      <c r="E40" s="89">
        <v>13821.105163877699</v>
      </c>
      <c r="F40" s="87">
        <v>17138.6398801252</v>
      </c>
      <c r="G40" s="90">
        <v>17069.296587197699</v>
      </c>
      <c r="H40" s="90">
        <v>18095.479654818198</v>
      </c>
      <c r="I40" s="120">
        <v>17920.026685922898</v>
      </c>
      <c r="J40" s="72">
        <v>23096.316562132801</v>
      </c>
      <c r="K40" s="150">
        <v>24018.528391310698</v>
      </c>
      <c r="L40" s="73">
        <v>22806.338860491298</v>
      </c>
      <c r="M40" s="121">
        <v>22972.7915285536</v>
      </c>
      <c r="N40" s="121">
        <v>23311.7227685629</v>
      </c>
      <c r="O40" s="276">
        <v>23119.693294696099</v>
      </c>
      <c r="P40" s="73"/>
      <c r="Q40" s="121"/>
      <c r="R40" s="121"/>
    </row>
    <row r="41" spans="2:18" x14ac:dyDescent="0.25">
      <c r="B41" t="s">
        <v>86</v>
      </c>
      <c r="C41" s="88">
        <v>95606.865122503194</v>
      </c>
      <c r="D41" s="89">
        <v>87525.278551995609</v>
      </c>
      <c r="E41" s="89">
        <v>102420.04644723081</v>
      </c>
      <c r="F41" s="87">
        <v>101428.53804465599</v>
      </c>
      <c r="G41" s="90">
        <v>108779.252031525</v>
      </c>
      <c r="H41" s="90">
        <v>119422.127669967</v>
      </c>
      <c r="I41" s="120">
        <v>130891.471856473</v>
      </c>
      <c r="J41" s="72">
        <v>120539.86296086</v>
      </c>
      <c r="K41" s="150">
        <v>129502.40360244999</v>
      </c>
      <c r="L41" s="73">
        <v>130448.57592796101</v>
      </c>
      <c r="M41" s="121">
        <v>122857.96637113699</v>
      </c>
      <c r="N41" s="121">
        <v>135756.31660206898</v>
      </c>
      <c r="O41" s="276">
        <v>119794.415151882</v>
      </c>
      <c r="P41" s="73"/>
      <c r="Q41" s="121"/>
      <c r="R41" s="121"/>
    </row>
    <row r="42" spans="2:18" s="2" customFormat="1" x14ac:dyDescent="0.25">
      <c r="B42" s="22" t="s">
        <v>87</v>
      </c>
      <c r="C42" s="91">
        <f t="shared" ref="C42:I42" si="15">SUM(C35:C41)</f>
        <v>285594.09226993169</v>
      </c>
      <c r="D42" s="92">
        <f t="shared" si="15"/>
        <v>269116.30603003141</v>
      </c>
      <c r="E42" s="92">
        <f t="shared" si="15"/>
        <v>298144.78276547528</v>
      </c>
      <c r="F42" s="93">
        <f t="shared" si="15"/>
        <v>289167.03215706791</v>
      </c>
      <c r="G42" s="92">
        <f t="shared" si="15"/>
        <v>280428.57535864384</v>
      </c>
      <c r="H42" s="92">
        <f t="shared" si="15"/>
        <v>287786.88969728496</v>
      </c>
      <c r="I42" s="122">
        <f t="shared" si="15"/>
        <v>316106.97764124267</v>
      </c>
      <c r="J42" s="75">
        <f>SUM(J35:J41)</f>
        <v>322880.16025979503</v>
      </c>
      <c r="K42" s="165">
        <f t="shared" ref="K42:M42" si="16">SUM(K35:K41)</f>
        <v>333181.77899241162</v>
      </c>
      <c r="L42" s="75">
        <f t="shared" si="16"/>
        <v>340376.4010418572</v>
      </c>
      <c r="M42" s="122">
        <f t="shared" si="16"/>
        <v>339478.18947699002</v>
      </c>
      <c r="N42" s="122">
        <f>SUM(N35:N41)</f>
        <v>333784.2571619862</v>
      </c>
      <c r="O42" s="277">
        <f t="shared" ref="O42:Q42" si="17">SUM(O35:O41)</f>
        <v>337254.18313944264</v>
      </c>
      <c r="P42" s="75">
        <f t="shared" si="17"/>
        <v>0</v>
      </c>
      <c r="Q42" s="122">
        <f t="shared" si="17"/>
        <v>0</v>
      </c>
      <c r="R42" s="122">
        <f>SUM(R35:R41)</f>
        <v>0</v>
      </c>
    </row>
    <row r="43" spans="2:18" x14ac:dyDescent="0.25">
      <c r="B43" s="61"/>
      <c r="C43" s="104"/>
      <c r="D43" s="97"/>
      <c r="E43" s="97"/>
      <c r="F43" s="105"/>
      <c r="G43" s="97"/>
      <c r="H43" s="97"/>
      <c r="I43" s="125"/>
      <c r="J43" s="155"/>
      <c r="K43" s="180"/>
      <c r="L43" s="188"/>
      <c r="M43" s="203"/>
      <c r="N43" s="203"/>
      <c r="O43" s="279"/>
      <c r="P43" s="188"/>
      <c r="Q43" s="203"/>
      <c r="R43" s="203"/>
    </row>
    <row r="44" spans="2:18" s="2" customFormat="1" ht="15.75" thickBot="1" x14ac:dyDescent="0.3">
      <c r="B44" s="35" t="s">
        <v>88</v>
      </c>
      <c r="C44" s="98">
        <f t="shared" ref="C44:I44" si="18">C25+C33+C42</f>
        <v>876772.39814875741</v>
      </c>
      <c r="D44" s="99">
        <f t="shared" si="18"/>
        <v>920858.74517932616</v>
      </c>
      <c r="E44" s="99">
        <f t="shared" si="18"/>
        <v>938825.44604573539</v>
      </c>
      <c r="F44" s="100">
        <f t="shared" si="18"/>
        <v>956478.72799009003</v>
      </c>
      <c r="G44" s="99">
        <f t="shared" si="18"/>
        <v>944445.39868773241</v>
      </c>
      <c r="H44" s="99">
        <f t="shared" si="18"/>
        <v>962771.90591966314</v>
      </c>
      <c r="I44" s="123">
        <f t="shared" si="18"/>
        <v>985029.33076508797</v>
      </c>
      <c r="J44" s="153">
        <f>J25+J33+J42</f>
        <v>962609.80478103261</v>
      </c>
      <c r="K44" s="181">
        <f t="shared" ref="K44:M44" si="19">K25+K33+K42</f>
        <v>980900.40755867213</v>
      </c>
      <c r="L44" s="153">
        <f t="shared" si="19"/>
        <v>989372.52852197341</v>
      </c>
      <c r="M44" s="123">
        <f t="shared" si="19"/>
        <v>1009711.2775277544</v>
      </c>
      <c r="N44" s="123">
        <f>N25+N33+N42</f>
        <v>1055411.224276369</v>
      </c>
      <c r="O44" s="280">
        <f t="shared" ref="O44:Q44" si="20">O25+O33+O42</f>
        <v>1088547.1480253069</v>
      </c>
      <c r="P44" s="153">
        <f t="shared" si="20"/>
        <v>0</v>
      </c>
      <c r="Q44" s="123">
        <f t="shared" si="20"/>
        <v>0</v>
      </c>
      <c r="R44" s="123">
        <f>R25+R33+R42</f>
        <v>0</v>
      </c>
    </row>
    <row r="45" spans="2:18" s="2" customFormat="1" x14ac:dyDescent="0.25">
      <c r="B45" s="109"/>
      <c r="C45" s="231"/>
      <c r="D45" s="231"/>
      <c r="E45" s="231"/>
      <c r="F45" s="231"/>
      <c r="G45" s="231"/>
      <c r="H45" s="231"/>
      <c r="I45" s="206"/>
      <c r="J45" s="205"/>
      <c r="K45" s="206"/>
      <c r="L45" s="205"/>
      <c r="M45" s="206"/>
      <c r="N45" s="206"/>
      <c r="O45" s="206"/>
      <c r="P45" s="205"/>
      <c r="Q45" s="206"/>
      <c r="R45" s="206"/>
    </row>
    <row r="46" spans="2:18" s="2" customFormat="1" ht="15.75" x14ac:dyDescent="0.25">
      <c r="B46" t="s">
        <v>201</v>
      </c>
      <c r="C46" s="231"/>
      <c r="D46" s="231"/>
      <c r="E46" s="231"/>
      <c r="F46" s="231"/>
      <c r="G46" s="231"/>
      <c r="H46" s="231"/>
      <c r="I46" s="206"/>
      <c r="J46" s="205"/>
      <c r="K46" s="206"/>
      <c r="L46" s="205"/>
      <c r="M46" s="206"/>
      <c r="N46" s="206"/>
      <c r="O46" s="206"/>
      <c r="P46" s="205"/>
      <c r="Q46" s="206"/>
      <c r="R46" s="206"/>
    </row>
    <row r="48" spans="2:18" s="214" customFormat="1" hidden="1" x14ac:dyDescent="0.25">
      <c r="B48" s="212" t="s">
        <v>165</v>
      </c>
      <c r="C48" s="213">
        <f>+C44-C21</f>
        <v>1.329995458945632E-3</v>
      </c>
      <c r="D48" s="213">
        <f t="shared" ref="D48:N48" si="21">+D44-D21</f>
        <v>-7.4350349954329431E-2</v>
      </c>
      <c r="E48" s="213">
        <f t="shared" si="21"/>
        <v>0.18616737611591816</v>
      </c>
      <c r="F48" s="213">
        <f t="shared" si="21"/>
        <v>1.5540724853053689E-3</v>
      </c>
      <c r="G48" s="213">
        <f t="shared" si="21"/>
        <v>0.22132999438326806</v>
      </c>
      <c r="H48" s="213">
        <f t="shared" si="21"/>
        <v>0.22132999775931239</v>
      </c>
      <c r="I48" s="213">
        <f t="shared" si="21"/>
        <v>1.2956557678990066E-2</v>
      </c>
      <c r="J48" s="213">
        <f t="shared" si="21"/>
        <v>0.22132999764289707</v>
      </c>
      <c r="K48" s="213">
        <f t="shared" si="21"/>
        <v>0.22133000055328012</v>
      </c>
      <c r="L48" s="213">
        <f t="shared" si="21"/>
        <v>1.6298145055770874E-9</v>
      </c>
      <c r="M48" s="213">
        <f t="shared" si="21"/>
        <v>9.3132257461547852E-10</v>
      </c>
      <c r="N48" s="233">
        <f t="shared" si="21"/>
        <v>-2.3283064365386963E-9</v>
      </c>
      <c r="O48" s="213">
        <f t="shared" ref="O48:R48" si="22">+O44-O21</f>
        <v>5.8207660913467407E-9</v>
      </c>
      <c r="P48" s="213">
        <f t="shared" si="22"/>
        <v>0</v>
      </c>
      <c r="Q48" s="213">
        <f t="shared" si="22"/>
        <v>0</v>
      </c>
      <c r="R48" s="233">
        <f t="shared" si="22"/>
        <v>0</v>
      </c>
    </row>
    <row r="49" spans="2:18" s="214" customFormat="1" ht="9" hidden="1" customHeight="1" x14ac:dyDescent="0.25">
      <c r="C49" s="213"/>
      <c r="D49" s="213"/>
      <c r="E49" s="213"/>
      <c r="F49" s="213"/>
      <c r="G49" s="213"/>
      <c r="H49" s="213"/>
      <c r="I49" s="213"/>
      <c r="J49" s="213"/>
      <c r="K49" s="213"/>
      <c r="L49" s="213"/>
      <c r="M49" s="213"/>
      <c r="N49" s="233"/>
      <c r="O49" s="213"/>
      <c r="P49" s="213"/>
      <c r="Q49" s="213"/>
      <c r="R49" s="233"/>
    </row>
    <row r="50" spans="2:18" s="214" customFormat="1" hidden="1" x14ac:dyDescent="0.25">
      <c r="B50" s="214" t="s">
        <v>166</v>
      </c>
      <c r="C50" s="213">
        <f>+C21-C19-C13</f>
        <v>0</v>
      </c>
      <c r="D50" s="213">
        <f t="shared" ref="D50:N50" si="23">+D21-D19-D13</f>
        <v>0</v>
      </c>
      <c r="E50" s="213">
        <f t="shared" si="23"/>
        <v>0</v>
      </c>
      <c r="F50" s="213">
        <f t="shared" si="23"/>
        <v>0</v>
      </c>
      <c r="G50" s="213">
        <f t="shared" si="23"/>
        <v>0</v>
      </c>
      <c r="H50" s="213">
        <f t="shared" si="23"/>
        <v>0</v>
      </c>
      <c r="I50" s="213">
        <f t="shared" si="23"/>
        <v>0</v>
      </c>
      <c r="J50" s="213">
        <f t="shared" si="23"/>
        <v>0</v>
      </c>
      <c r="K50" s="213">
        <f t="shared" si="23"/>
        <v>0</v>
      </c>
      <c r="L50" s="213">
        <f t="shared" si="23"/>
        <v>0</v>
      </c>
      <c r="M50" s="213">
        <f t="shared" si="23"/>
        <v>0</v>
      </c>
      <c r="N50" s="233">
        <f t="shared" si="23"/>
        <v>0</v>
      </c>
      <c r="O50" s="213">
        <f t="shared" ref="O50:R50" si="24">+O21-O19-O13</f>
        <v>0</v>
      </c>
      <c r="P50" s="213">
        <f t="shared" si="24"/>
        <v>0</v>
      </c>
      <c r="Q50" s="213">
        <f t="shared" si="24"/>
        <v>0</v>
      </c>
      <c r="R50" s="233">
        <f t="shared" si="24"/>
        <v>0</v>
      </c>
    </row>
    <row r="51" spans="2:18" s="214" customFormat="1" hidden="1" x14ac:dyDescent="0.25">
      <c r="B51" s="214" t="s">
        <v>168</v>
      </c>
      <c r="C51" s="213">
        <f>+C13-SUM(C6:C12)</f>
        <v>0</v>
      </c>
      <c r="D51" s="213">
        <f t="shared" ref="D51:N51" si="25">+D13-SUM(D6:D12)</f>
        <v>0</v>
      </c>
      <c r="E51" s="213">
        <f t="shared" si="25"/>
        <v>0</v>
      </c>
      <c r="F51" s="213">
        <f t="shared" si="25"/>
        <v>0</v>
      </c>
      <c r="G51" s="213">
        <f t="shared" si="25"/>
        <v>0</v>
      </c>
      <c r="H51" s="213">
        <f t="shared" si="25"/>
        <v>0</v>
      </c>
      <c r="I51" s="213">
        <f t="shared" si="25"/>
        <v>0</v>
      </c>
      <c r="J51" s="213">
        <f t="shared" si="25"/>
        <v>0</v>
      </c>
      <c r="K51" s="213">
        <f t="shared" si="25"/>
        <v>0</v>
      </c>
      <c r="L51" s="213">
        <f t="shared" si="25"/>
        <v>0</v>
      </c>
      <c r="M51" s="213">
        <f t="shared" si="25"/>
        <v>0</v>
      </c>
      <c r="N51" s="233">
        <f t="shared" si="25"/>
        <v>0</v>
      </c>
      <c r="O51" s="213">
        <f t="shared" ref="O51:R51" si="26">+O13-SUM(O6:O12)</f>
        <v>0</v>
      </c>
      <c r="P51" s="213">
        <f t="shared" si="26"/>
        <v>0</v>
      </c>
      <c r="Q51" s="213">
        <f t="shared" si="26"/>
        <v>0</v>
      </c>
      <c r="R51" s="233">
        <f t="shared" si="26"/>
        <v>0</v>
      </c>
    </row>
    <row r="52" spans="2:18" s="214" customFormat="1" hidden="1" x14ac:dyDescent="0.25">
      <c r="B52" s="214" t="s">
        <v>169</v>
      </c>
      <c r="C52" s="213">
        <f>+C19-SUM(C15:C18)</f>
        <v>0</v>
      </c>
      <c r="D52" s="213">
        <f t="shared" ref="D52:N52" si="27">+D19-SUM(D15:D18)</f>
        <v>0</v>
      </c>
      <c r="E52" s="213">
        <f t="shared" si="27"/>
        <v>0</v>
      </c>
      <c r="F52" s="213">
        <f t="shared" si="27"/>
        <v>0</v>
      </c>
      <c r="G52" s="213">
        <f t="shared" si="27"/>
        <v>0</v>
      </c>
      <c r="H52" s="213">
        <f t="shared" si="27"/>
        <v>0</v>
      </c>
      <c r="I52" s="213">
        <f t="shared" si="27"/>
        <v>0</v>
      </c>
      <c r="J52" s="213">
        <f t="shared" si="27"/>
        <v>0</v>
      </c>
      <c r="K52" s="213">
        <f t="shared" si="27"/>
        <v>0</v>
      </c>
      <c r="L52" s="213">
        <f t="shared" si="27"/>
        <v>0</v>
      </c>
      <c r="M52" s="213">
        <f t="shared" si="27"/>
        <v>0</v>
      </c>
      <c r="N52" s="233">
        <f t="shared" si="27"/>
        <v>0</v>
      </c>
      <c r="O52" s="213">
        <f t="shared" ref="O52:R52" si="28">+O19-SUM(O15:O18)</f>
        <v>0</v>
      </c>
      <c r="P52" s="213">
        <f t="shared" si="28"/>
        <v>0</v>
      </c>
      <c r="Q52" s="213">
        <f t="shared" si="28"/>
        <v>0</v>
      </c>
      <c r="R52" s="233">
        <f t="shared" si="28"/>
        <v>0</v>
      </c>
    </row>
    <row r="53" spans="2:18" s="214" customFormat="1" ht="9" hidden="1" customHeight="1" x14ac:dyDescent="0.25">
      <c r="N53" s="215"/>
      <c r="R53" s="215"/>
    </row>
    <row r="54" spans="2:18" s="214" customFormat="1" hidden="1" x14ac:dyDescent="0.25">
      <c r="B54" s="214" t="s">
        <v>167</v>
      </c>
      <c r="C54" s="213">
        <f>+C44-C42-C33-C25</f>
        <v>0</v>
      </c>
      <c r="D54" s="213">
        <f t="shared" ref="D54:N54" si="29">+D44-D42-D33-D25</f>
        <v>0</v>
      </c>
      <c r="E54" s="213">
        <f t="shared" si="29"/>
        <v>0</v>
      </c>
      <c r="F54" s="213">
        <f t="shared" si="29"/>
        <v>0</v>
      </c>
      <c r="G54" s="213">
        <f t="shared" si="29"/>
        <v>0</v>
      </c>
      <c r="H54" s="213">
        <f t="shared" si="29"/>
        <v>0</v>
      </c>
      <c r="I54" s="213">
        <f t="shared" si="29"/>
        <v>0</v>
      </c>
      <c r="J54" s="213">
        <f t="shared" si="29"/>
        <v>0</v>
      </c>
      <c r="K54" s="213">
        <f t="shared" si="29"/>
        <v>0</v>
      </c>
      <c r="L54" s="213">
        <f t="shared" si="29"/>
        <v>0</v>
      </c>
      <c r="M54" s="213">
        <f t="shared" si="29"/>
        <v>0</v>
      </c>
      <c r="N54" s="233">
        <f t="shared" si="29"/>
        <v>0</v>
      </c>
      <c r="O54" s="213">
        <f t="shared" ref="O54:R54" si="30">+O44-O42-O33-O25</f>
        <v>0</v>
      </c>
      <c r="P54" s="213">
        <f t="shared" si="30"/>
        <v>0</v>
      </c>
      <c r="Q54" s="213">
        <f t="shared" si="30"/>
        <v>0</v>
      </c>
      <c r="R54" s="233">
        <f t="shared" si="30"/>
        <v>0</v>
      </c>
    </row>
    <row r="55" spans="2:18" s="214" customFormat="1" hidden="1" x14ac:dyDescent="0.25">
      <c r="B55" s="214" t="s">
        <v>170</v>
      </c>
      <c r="C55" s="213">
        <f>+C25-SUM(C23:C24)</f>
        <v>0</v>
      </c>
      <c r="D55" s="213">
        <f t="shared" ref="D55:N55" si="31">+D25-SUM(D23:D24)</f>
        <v>0</v>
      </c>
      <c r="E55" s="213">
        <f t="shared" si="31"/>
        <v>0</v>
      </c>
      <c r="F55" s="213">
        <f t="shared" si="31"/>
        <v>0</v>
      </c>
      <c r="G55" s="213">
        <f t="shared" si="31"/>
        <v>0</v>
      </c>
      <c r="H55" s="213">
        <f t="shared" si="31"/>
        <v>0</v>
      </c>
      <c r="I55" s="213">
        <f t="shared" si="31"/>
        <v>0</v>
      </c>
      <c r="J55" s="213">
        <f t="shared" si="31"/>
        <v>0</v>
      </c>
      <c r="K55" s="213">
        <f t="shared" si="31"/>
        <v>0</v>
      </c>
      <c r="L55" s="213">
        <f t="shared" si="31"/>
        <v>0</v>
      </c>
      <c r="M55" s="213">
        <f t="shared" si="31"/>
        <v>0</v>
      </c>
      <c r="N55" s="233">
        <f t="shared" si="31"/>
        <v>0</v>
      </c>
      <c r="O55" s="213">
        <f t="shared" ref="O55:R55" si="32">+O25-SUM(O23:O24)</f>
        <v>0</v>
      </c>
      <c r="P55" s="213">
        <f t="shared" si="32"/>
        <v>0</v>
      </c>
      <c r="Q55" s="213">
        <f t="shared" si="32"/>
        <v>0</v>
      </c>
      <c r="R55" s="233">
        <f t="shared" si="32"/>
        <v>0</v>
      </c>
    </row>
    <row r="56" spans="2:18" s="214" customFormat="1" hidden="1" x14ac:dyDescent="0.25">
      <c r="B56" s="214" t="s">
        <v>171</v>
      </c>
      <c r="C56" s="213">
        <f>+C33-SUM(C27:C32)</f>
        <v>0</v>
      </c>
      <c r="D56" s="213">
        <f t="shared" ref="D56:N56" si="33">+D33-SUM(D27:D32)</f>
        <v>0</v>
      </c>
      <c r="E56" s="213">
        <f t="shared" si="33"/>
        <v>0</v>
      </c>
      <c r="F56" s="213">
        <f t="shared" si="33"/>
        <v>0</v>
      </c>
      <c r="G56" s="213">
        <f t="shared" si="33"/>
        <v>0</v>
      </c>
      <c r="H56" s="213">
        <f t="shared" si="33"/>
        <v>0</v>
      </c>
      <c r="I56" s="213">
        <f t="shared" si="33"/>
        <v>0</v>
      </c>
      <c r="J56" s="213">
        <f t="shared" si="33"/>
        <v>0</v>
      </c>
      <c r="K56" s="213">
        <f t="shared" si="33"/>
        <v>0</v>
      </c>
      <c r="L56" s="213">
        <f t="shared" si="33"/>
        <v>0</v>
      </c>
      <c r="M56" s="213">
        <f t="shared" si="33"/>
        <v>0</v>
      </c>
      <c r="N56" s="233">
        <f t="shared" si="33"/>
        <v>0</v>
      </c>
      <c r="O56" s="213">
        <f t="shared" ref="O56:R56" si="34">+O33-SUM(O27:O32)</f>
        <v>0</v>
      </c>
      <c r="P56" s="213">
        <f t="shared" si="34"/>
        <v>0</v>
      </c>
      <c r="Q56" s="213">
        <f t="shared" si="34"/>
        <v>0</v>
      </c>
      <c r="R56" s="233">
        <f t="shared" si="34"/>
        <v>0</v>
      </c>
    </row>
    <row r="57" spans="2:18" s="214" customFormat="1" hidden="1" x14ac:dyDescent="0.25">
      <c r="B57" s="214" t="s">
        <v>172</v>
      </c>
      <c r="C57" s="213">
        <f>+C42-SUM(C35:C41)</f>
        <v>0</v>
      </c>
      <c r="D57" s="213">
        <f t="shared" ref="D57:N57" si="35">+D42-SUM(D35:D41)</f>
        <v>0</v>
      </c>
      <c r="E57" s="213">
        <f t="shared" si="35"/>
        <v>0</v>
      </c>
      <c r="F57" s="213">
        <f t="shared" si="35"/>
        <v>0</v>
      </c>
      <c r="G57" s="213">
        <f t="shared" si="35"/>
        <v>0</v>
      </c>
      <c r="H57" s="213">
        <f t="shared" si="35"/>
        <v>0</v>
      </c>
      <c r="I57" s="213">
        <f t="shared" si="35"/>
        <v>0</v>
      </c>
      <c r="J57" s="213">
        <f t="shared" si="35"/>
        <v>0</v>
      </c>
      <c r="K57" s="213">
        <f t="shared" si="35"/>
        <v>0</v>
      </c>
      <c r="L57" s="213">
        <f t="shared" si="35"/>
        <v>0</v>
      </c>
      <c r="M57" s="213">
        <f t="shared" si="35"/>
        <v>0</v>
      </c>
      <c r="N57" s="233">
        <f t="shared" si="35"/>
        <v>0</v>
      </c>
      <c r="O57" s="213">
        <f t="shared" ref="O57:R57" si="36">+O42-SUM(O35:O41)</f>
        <v>0</v>
      </c>
      <c r="P57" s="213">
        <f t="shared" si="36"/>
        <v>0</v>
      </c>
      <c r="Q57" s="213">
        <f t="shared" si="36"/>
        <v>0</v>
      </c>
      <c r="R57" s="233">
        <f t="shared" si="36"/>
        <v>0</v>
      </c>
    </row>
    <row r="58" spans="2:18" s="214" customFormat="1" x14ac:dyDescent="0.25">
      <c r="I58" s="215"/>
      <c r="J58" s="216"/>
      <c r="K58" s="215"/>
      <c r="L58" s="216"/>
      <c r="M58" s="215"/>
      <c r="N58" s="215"/>
      <c r="O58" s="215"/>
      <c r="P58" s="216"/>
      <c r="Q58" s="215"/>
      <c r="R58" s="215"/>
    </row>
  </sheetData>
  <pageMargins left="0.7" right="0.7" top="0.75" bottom="0.75" header="0.3" footer="0.3"/>
  <pageSetup paperSize="9" orientation="portrait" r:id="rId1"/>
  <customProperties>
    <customPr name="_pios_id" r:id="rId2"/>
    <customPr name="SheetOptions"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52EFA-82BC-4E45-8438-4FF311AFC445}">
  <dimension ref="B1:R67"/>
  <sheetViews>
    <sheetView showGridLines="0" zoomScale="90" zoomScaleNormal="90" workbookViewId="0">
      <selection activeCell="B1" sqref="B1"/>
    </sheetView>
  </sheetViews>
  <sheetFormatPr defaultRowHeight="15" x14ac:dyDescent="0.25"/>
  <cols>
    <col min="2" max="2" width="55.5703125" customWidth="1"/>
    <col min="3" max="8" width="15.7109375" customWidth="1"/>
    <col min="9" max="9" width="15.7109375" style="110" customWidth="1"/>
    <col min="10" max="10" width="15.7109375" style="52" customWidth="1"/>
    <col min="11" max="11" width="15.7109375" style="110" customWidth="1"/>
    <col min="12" max="13" width="15.7109375" style="161" customWidth="1"/>
    <col min="14" max="14" width="15.7109375" style="196" customWidth="1"/>
    <col min="15" max="15" width="15.7109375" style="110" customWidth="1"/>
    <col min="16" max="17" width="15.7109375" style="161" hidden="1" customWidth="1"/>
    <col min="18" max="18" width="15.7109375" style="196" hidden="1" customWidth="1"/>
  </cols>
  <sheetData>
    <row r="1" spans="2:18" x14ac:dyDescent="0.25">
      <c r="B1" t="s">
        <v>203</v>
      </c>
      <c r="E1" s="112"/>
      <c r="F1" s="112"/>
      <c r="G1" s="112"/>
      <c r="H1" s="112"/>
      <c r="I1" s="126"/>
      <c r="J1" s="156"/>
      <c r="K1" s="126"/>
      <c r="L1" s="190"/>
      <c r="M1" s="190"/>
      <c r="N1" s="235"/>
      <c r="O1" s="126"/>
      <c r="P1" s="190"/>
      <c r="Q1" s="190"/>
      <c r="R1" s="235"/>
    </row>
    <row r="2" spans="2:18" x14ac:dyDescent="0.25">
      <c r="B2" s="20"/>
      <c r="C2" s="8"/>
      <c r="D2" s="8"/>
      <c r="E2" s="8"/>
      <c r="F2" s="8"/>
      <c r="G2" s="8"/>
      <c r="H2" s="8"/>
      <c r="I2" s="116"/>
      <c r="J2" s="151"/>
      <c r="K2" s="116"/>
      <c r="L2" s="191"/>
      <c r="M2" s="191"/>
      <c r="N2" s="236"/>
      <c r="O2" s="116"/>
      <c r="P2" s="191"/>
      <c r="Q2" s="191"/>
      <c r="R2" s="236"/>
    </row>
    <row r="3" spans="2:18" x14ac:dyDescent="0.25">
      <c r="B3" s="20" t="s">
        <v>32</v>
      </c>
      <c r="C3" s="29" t="s">
        <v>56</v>
      </c>
      <c r="D3" s="27" t="s">
        <v>57</v>
      </c>
      <c r="E3" s="27" t="s">
        <v>58</v>
      </c>
      <c r="F3" s="28" t="s">
        <v>59</v>
      </c>
      <c r="G3" s="27" t="s">
        <v>56</v>
      </c>
      <c r="H3" s="27" t="s">
        <v>57</v>
      </c>
      <c r="I3" s="117" t="s">
        <v>58</v>
      </c>
      <c r="J3" s="157" t="s">
        <v>59</v>
      </c>
      <c r="K3" s="178" t="s">
        <v>56</v>
      </c>
      <c r="L3" s="186" t="s">
        <v>57</v>
      </c>
      <c r="M3" s="186" t="s">
        <v>58</v>
      </c>
      <c r="N3" s="200" t="s">
        <v>59</v>
      </c>
      <c r="O3" s="272" t="s">
        <v>56</v>
      </c>
      <c r="P3" s="186" t="s">
        <v>57</v>
      </c>
      <c r="Q3" s="186" t="s">
        <v>58</v>
      </c>
      <c r="R3" s="200" t="s">
        <v>59</v>
      </c>
    </row>
    <row r="4" spans="2:18" ht="30" x14ac:dyDescent="0.25">
      <c r="B4" s="34" t="s">
        <v>158</v>
      </c>
      <c r="C4" s="30">
        <v>2022</v>
      </c>
      <c r="D4" s="16">
        <v>2022</v>
      </c>
      <c r="E4" s="16">
        <v>2022</v>
      </c>
      <c r="F4" s="17">
        <v>2022</v>
      </c>
      <c r="G4" s="16">
        <v>2023</v>
      </c>
      <c r="H4" s="16">
        <v>2023</v>
      </c>
      <c r="I4" s="118">
        <v>2023</v>
      </c>
      <c r="J4" s="54">
        <v>2023</v>
      </c>
      <c r="K4" s="163">
        <v>2024</v>
      </c>
      <c r="L4" s="54">
        <v>2024</v>
      </c>
      <c r="M4" s="54">
        <v>2024</v>
      </c>
      <c r="N4" s="118">
        <v>2024</v>
      </c>
      <c r="O4" s="262">
        <v>2025</v>
      </c>
      <c r="P4" s="54">
        <v>2025</v>
      </c>
      <c r="Q4" s="54">
        <v>2025</v>
      </c>
      <c r="R4" s="118">
        <v>2025</v>
      </c>
    </row>
    <row r="5" spans="2:18" x14ac:dyDescent="0.25">
      <c r="C5" s="32"/>
      <c r="D5" s="15"/>
      <c r="E5" s="15"/>
      <c r="F5" s="11"/>
      <c r="G5" s="15"/>
      <c r="H5" s="15"/>
      <c r="I5" s="119"/>
      <c r="J5" s="53"/>
      <c r="K5" s="162"/>
      <c r="L5" s="160"/>
      <c r="M5" s="160"/>
      <c r="N5" s="201"/>
      <c r="O5" s="261"/>
      <c r="P5" s="160"/>
      <c r="Q5" s="160"/>
      <c r="R5" s="201"/>
    </row>
    <row r="6" spans="2:18" x14ac:dyDescent="0.25">
      <c r="B6" t="s">
        <v>89</v>
      </c>
      <c r="C6" s="33"/>
      <c r="D6" s="23"/>
      <c r="E6" s="23"/>
      <c r="F6" s="12"/>
      <c r="G6" s="6"/>
      <c r="H6" s="6"/>
      <c r="I6" s="46"/>
      <c r="J6" s="158"/>
      <c r="K6" s="48"/>
      <c r="L6" s="158"/>
      <c r="M6" s="158"/>
      <c r="N6" s="46"/>
      <c r="O6" s="266"/>
      <c r="P6" s="158"/>
      <c r="Q6" s="158"/>
      <c r="R6" s="46"/>
    </row>
    <row r="7" spans="2:18" x14ac:dyDescent="0.25">
      <c r="B7" t="s">
        <v>90</v>
      </c>
      <c r="C7" s="33">
        <v>235.37421035197758</v>
      </c>
      <c r="D7" s="23">
        <v>13457.496292708985</v>
      </c>
      <c r="E7" s="23">
        <v>30726.16296754936</v>
      </c>
      <c r="F7" s="12">
        <v>46407.240252863972</v>
      </c>
      <c r="G7" s="6">
        <v>18128.814264945398</v>
      </c>
      <c r="H7" s="6">
        <v>42843.269265883398</v>
      </c>
      <c r="I7" s="46">
        <v>69568.923862690106</v>
      </c>
      <c r="J7" s="158">
        <v>84879.612711695896</v>
      </c>
      <c r="K7" s="48">
        <v>26133.787451055759</v>
      </c>
      <c r="L7" s="158">
        <v>51341.027627524767</v>
      </c>
      <c r="M7" s="158">
        <v>68536.588031420644</v>
      </c>
      <c r="N7" s="46">
        <v>88752.785774085438</v>
      </c>
      <c r="O7" s="266">
        <v>22412.926374524519</v>
      </c>
      <c r="P7" s="158"/>
      <c r="Q7" s="158"/>
      <c r="R7" s="46"/>
    </row>
    <row r="8" spans="2:18" s="110" customFormat="1" x14ac:dyDescent="0.25">
      <c r="B8" s="110" t="s">
        <v>91</v>
      </c>
      <c r="C8" s="48">
        <v>-14063.664353967853</v>
      </c>
      <c r="D8" s="46">
        <v>-12730.016453831699</v>
      </c>
      <c r="E8" s="46">
        <v>-22824.698199934999</v>
      </c>
      <c r="F8" s="49">
        <v>-22824.698178946826</v>
      </c>
      <c r="G8" s="111">
        <v>0</v>
      </c>
      <c r="H8" s="111">
        <v>-1339.1589653251099</v>
      </c>
      <c r="I8" s="46">
        <v>-1339.1589653251099</v>
      </c>
      <c r="J8" s="158">
        <v>-1339.1589653251099</v>
      </c>
      <c r="K8" s="48">
        <v>0</v>
      </c>
      <c r="L8" s="158">
        <v>-131.374</v>
      </c>
      <c r="M8" s="158">
        <v>-131.374</v>
      </c>
      <c r="N8" s="46">
        <v>602.96455000000003</v>
      </c>
      <c r="O8" s="266">
        <v>0</v>
      </c>
      <c r="P8" s="158"/>
      <c r="Q8" s="158"/>
      <c r="R8" s="46"/>
    </row>
    <row r="9" spans="2:18" x14ac:dyDescent="0.25">
      <c r="B9" s="2" t="s">
        <v>92</v>
      </c>
      <c r="C9" s="37">
        <f t="shared" ref="C9:J9" si="0">SUM(C7:C8)</f>
        <v>-13828.290143615875</v>
      </c>
      <c r="D9" s="36">
        <f t="shared" si="0"/>
        <v>727.47983887728697</v>
      </c>
      <c r="E9" s="36">
        <f t="shared" si="0"/>
        <v>7901.4647676143613</v>
      </c>
      <c r="F9" s="13">
        <f t="shared" si="0"/>
        <v>23582.542073917146</v>
      </c>
      <c r="G9" s="7">
        <f t="shared" si="0"/>
        <v>18128.814264945398</v>
      </c>
      <c r="H9" s="7">
        <f t="shared" si="0"/>
        <v>41504.110300558292</v>
      </c>
      <c r="I9" s="127">
        <f t="shared" si="0"/>
        <v>68229.764897364992</v>
      </c>
      <c r="J9" s="159">
        <f t="shared" si="0"/>
        <v>83540.453746370782</v>
      </c>
      <c r="K9" s="183">
        <f t="shared" ref="K9:N9" si="1">SUM(K7:K8)</f>
        <v>26133.787451055759</v>
      </c>
      <c r="L9" s="159">
        <f t="shared" si="1"/>
        <v>51209.653627524764</v>
      </c>
      <c r="M9" s="159">
        <f t="shared" si="1"/>
        <v>68405.214031420648</v>
      </c>
      <c r="N9" s="127">
        <f t="shared" si="1"/>
        <v>89355.750324085442</v>
      </c>
      <c r="O9" s="273">
        <f t="shared" ref="O9:R9" si="2">SUM(O7:O8)</f>
        <v>22412.926374524519</v>
      </c>
      <c r="P9" s="159">
        <f t="shared" si="2"/>
        <v>0</v>
      </c>
      <c r="Q9" s="159">
        <f t="shared" si="2"/>
        <v>0</v>
      </c>
      <c r="R9" s="127">
        <f t="shared" si="2"/>
        <v>0</v>
      </c>
    </row>
    <row r="10" spans="2:18" ht="8.1" customHeight="1" x14ac:dyDescent="0.25">
      <c r="C10" s="33"/>
      <c r="D10" s="23"/>
      <c r="E10" s="23"/>
      <c r="F10" s="12"/>
      <c r="G10" s="6"/>
      <c r="H10" s="6"/>
      <c r="I10" s="46"/>
      <c r="J10" s="158"/>
      <c r="K10" s="48"/>
      <c r="L10" s="158"/>
      <c r="M10" s="158"/>
      <c r="N10" s="46"/>
      <c r="O10" s="266"/>
      <c r="P10" s="158"/>
      <c r="Q10" s="158"/>
      <c r="R10" s="46"/>
    </row>
    <row r="11" spans="2:18" x14ac:dyDescent="0.25">
      <c r="B11" t="s">
        <v>175</v>
      </c>
      <c r="C11" s="33">
        <v>730.1140191227538</v>
      </c>
      <c r="D11" s="23">
        <v>1105.645165152554</v>
      </c>
      <c r="E11" s="23">
        <v>3225.213702434532</v>
      </c>
      <c r="F11" s="12">
        <v>5657.8827895230597</v>
      </c>
      <c r="G11" s="6">
        <v>3181.1644985012349</v>
      </c>
      <c r="H11" s="6">
        <v>6823.9849642093704</v>
      </c>
      <c r="I11" s="46">
        <v>8743.0118927103904</v>
      </c>
      <c r="J11" s="158">
        <v>11303.325434712338</v>
      </c>
      <c r="K11" s="48">
        <v>2608.6650252071013</v>
      </c>
      <c r="L11" s="158">
        <v>6782.5112762905492</v>
      </c>
      <c r="M11" s="158">
        <v>10996.388595232576</v>
      </c>
      <c r="N11" s="46">
        <v>15303.779043147921</v>
      </c>
      <c r="O11" s="266">
        <v>4438.8259321067462</v>
      </c>
      <c r="P11" s="158"/>
      <c r="Q11" s="158"/>
      <c r="R11" s="46"/>
    </row>
    <row r="12" spans="2:18" x14ac:dyDescent="0.25">
      <c r="B12" t="s">
        <v>93</v>
      </c>
      <c r="C12" s="33">
        <v>1123.918505758927</v>
      </c>
      <c r="D12" s="23">
        <v>2290.483730696058</v>
      </c>
      <c r="E12" s="23">
        <v>3249.5256566615335</v>
      </c>
      <c r="F12" s="12">
        <v>4574.7107550069913</v>
      </c>
      <c r="G12" s="6">
        <v>1678.7163593968612</v>
      </c>
      <c r="H12" s="6">
        <v>3278.8542068917809</v>
      </c>
      <c r="I12" s="46">
        <v>4955.8946018918823</v>
      </c>
      <c r="J12" s="158">
        <v>6566.0178458086757</v>
      </c>
      <c r="K12" s="48">
        <v>1881.5687375693501</v>
      </c>
      <c r="L12" s="158">
        <v>3885.7500168004003</v>
      </c>
      <c r="M12" s="158">
        <v>5888.3190574330292</v>
      </c>
      <c r="N12" s="46">
        <v>7892.0476864866105</v>
      </c>
      <c r="O12" s="266">
        <v>1969.83900266723</v>
      </c>
      <c r="P12" s="158"/>
      <c r="Q12" s="158"/>
      <c r="R12" s="46"/>
    </row>
    <row r="13" spans="2:18" ht="8.1" customHeight="1" x14ac:dyDescent="0.25">
      <c r="C13" s="33"/>
      <c r="D13" s="23"/>
      <c r="E13" s="23"/>
      <c r="F13" s="12"/>
      <c r="G13" s="6"/>
      <c r="H13" s="6"/>
      <c r="I13" s="46"/>
      <c r="J13" s="158"/>
      <c r="K13" s="48"/>
      <c r="L13" s="158"/>
      <c r="M13" s="158"/>
      <c r="N13" s="46"/>
      <c r="O13" s="266"/>
      <c r="P13" s="158"/>
      <c r="Q13" s="158"/>
      <c r="R13" s="46"/>
    </row>
    <row r="14" spans="2:18" s="2" customFormat="1" x14ac:dyDescent="0.25">
      <c r="B14" s="2" t="s">
        <v>94</v>
      </c>
      <c r="C14" s="37">
        <f t="shared" ref="C14:I14" si="3">SUM(C9:C12)</f>
        <v>-11974.257618734195</v>
      </c>
      <c r="D14" s="36">
        <f t="shared" si="3"/>
        <v>4123.608734725899</v>
      </c>
      <c r="E14" s="36">
        <f t="shared" si="3"/>
        <v>14376.204126710427</v>
      </c>
      <c r="F14" s="13">
        <f t="shared" si="3"/>
        <v>33815.135618447195</v>
      </c>
      <c r="G14" s="7">
        <f t="shared" si="3"/>
        <v>22988.695122843495</v>
      </c>
      <c r="H14" s="7">
        <f t="shared" si="3"/>
        <v>51606.949471659442</v>
      </c>
      <c r="I14" s="127">
        <f t="shared" si="3"/>
        <v>81928.671391967262</v>
      </c>
      <c r="J14" s="159">
        <f>SUM(J9:J12)</f>
        <v>101409.7970268918</v>
      </c>
      <c r="K14" s="183">
        <f t="shared" ref="K14:M14" si="4">SUM(K9:K12)</f>
        <v>30624.021213832209</v>
      </c>
      <c r="L14" s="159">
        <f t="shared" si="4"/>
        <v>61877.914920615709</v>
      </c>
      <c r="M14" s="159">
        <f t="shared" si="4"/>
        <v>85289.921684086265</v>
      </c>
      <c r="N14" s="127">
        <f>SUM(N9:N12)</f>
        <v>112551.57705371997</v>
      </c>
      <c r="O14" s="273">
        <f t="shared" ref="O14:Q14" si="5">SUM(O9:O12)</f>
        <v>28821.591309298496</v>
      </c>
      <c r="P14" s="159">
        <f t="shared" si="5"/>
        <v>0</v>
      </c>
      <c r="Q14" s="159">
        <f t="shared" si="5"/>
        <v>0</v>
      </c>
      <c r="R14" s="127">
        <f>SUM(R9:R12)</f>
        <v>0</v>
      </c>
    </row>
    <row r="15" spans="2:18" s="2" customFormat="1" ht="8.1" customHeight="1" x14ac:dyDescent="0.25">
      <c r="C15" s="33"/>
      <c r="D15" s="23"/>
      <c r="E15" s="23"/>
      <c r="F15" s="12"/>
      <c r="G15" s="6"/>
      <c r="H15" s="6"/>
      <c r="I15" s="46"/>
      <c r="J15" s="158"/>
      <c r="K15" s="48"/>
      <c r="L15" s="158"/>
      <c r="M15" s="158"/>
      <c r="N15" s="46"/>
      <c r="O15" s="266"/>
      <c r="P15" s="158"/>
      <c r="Q15" s="158"/>
      <c r="R15" s="46"/>
    </row>
    <row r="16" spans="2:18" x14ac:dyDescent="0.25">
      <c r="B16" t="s">
        <v>95</v>
      </c>
      <c r="C16" s="33">
        <v>27104.660113485297</v>
      </c>
      <c r="D16" s="23">
        <v>42858.922554652781</v>
      </c>
      <c r="E16" s="23">
        <v>56647.919431039154</v>
      </c>
      <c r="F16" s="12">
        <v>76117.697376682903</v>
      </c>
      <c r="G16" s="6">
        <v>15299.8053384716</v>
      </c>
      <c r="H16" s="6">
        <v>30161.264471938801</v>
      </c>
      <c r="I16" s="46">
        <v>46219.191397239498</v>
      </c>
      <c r="J16" s="158">
        <v>61332.313958079496</v>
      </c>
      <c r="K16" s="48">
        <v>16044.490852066911</v>
      </c>
      <c r="L16" s="158">
        <v>31375.869206375359</v>
      </c>
      <c r="M16" s="158">
        <v>48040.247564215657</v>
      </c>
      <c r="N16" s="46">
        <v>66944.904959436346</v>
      </c>
      <c r="O16" s="266">
        <v>15931.832439571201</v>
      </c>
      <c r="P16" s="158"/>
      <c r="Q16" s="158"/>
      <c r="R16" s="46"/>
    </row>
    <row r="17" spans="2:18" ht="30" x14ac:dyDescent="0.25">
      <c r="B17" s="38" t="s">
        <v>160</v>
      </c>
      <c r="C17" s="33">
        <v>500</v>
      </c>
      <c r="D17" s="23">
        <v>1273.8057289933399</v>
      </c>
      <c r="E17" s="23">
        <v>500</v>
      </c>
      <c r="F17" s="12">
        <v>500</v>
      </c>
      <c r="G17" s="6">
        <v>3261.9976500000002</v>
      </c>
      <c r="H17" s="6">
        <v>2860.6147256372301</v>
      </c>
      <c r="I17" s="46">
        <v>2494.2740418953899</v>
      </c>
      <c r="J17" s="158">
        <v>8630.2740418953908</v>
      </c>
      <c r="K17" s="48">
        <v>2206</v>
      </c>
      <c r="L17" s="158">
        <v>-3379.5487176969109</v>
      </c>
      <c r="M17" s="158">
        <v>3601.5600922844505</v>
      </c>
      <c r="N17" s="46">
        <v>1718.7221201141306</v>
      </c>
      <c r="O17" s="266">
        <v>-9663.0623012058786</v>
      </c>
      <c r="P17" s="158"/>
      <c r="Q17" s="158"/>
      <c r="R17" s="46"/>
    </row>
    <row r="18" spans="2:18" x14ac:dyDescent="0.25">
      <c r="B18" t="s">
        <v>159</v>
      </c>
      <c r="C18" s="33">
        <v>-1455.3273283993299</v>
      </c>
      <c r="D18" s="23">
        <v>15283.564290209601</v>
      </c>
      <c r="E18" s="23">
        <v>11891.6724888761</v>
      </c>
      <c r="F18" s="12">
        <v>2296.8166375502501</v>
      </c>
      <c r="G18" s="6">
        <v>-3463.2980187536</v>
      </c>
      <c r="H18" s="6">
        <v>-7306.4963357095194</v>
      </c>
      <c r="I18" s="46">
        <v>-978.14490175285505</v>
      </c>
      <c r="J18" s="158">
        <v>-174.389163976264</v>
      </c>
      <c r="K18" s="48">
        <v>-1481.96235384172</v>
      </c>
      <c r="L18" s="158">
        <v>497.76535738597198</v>
      </c>
      <c r="M18" s="158">
        <v>-2343.8743146035899</v>
      </c>
      <c r="N18" s="46">
        <v>-4558.2635907118301</v>
      </c>
      <c r="O18" s="266">
        <v>10737.6821479025</v>
      </c>
      <c r="P18" s="158"/>
      <c r="Q18" s="158"/>
      <c r="R18" s="46"/>
    </row>
    <row r="19" spans="2:18" x14ac:dyDescent="0.25">
      <c r="B19" t="s">
        <v>96</v>
      </c>
      <c r="C19" s="33">
        <v>-911.99540302209607</v>
      </c>
      <c r="D19" s="23">
        <v>-1932.3762355756598</v>
      </c>
      <c r="E19" s="23">
        <v>-3387.4944062044401</v>
      </c>
      <c r="F19" s="12">
        <v>-4378.1443104911395</v>
      </c>
      <c r="G19" s="6">
        <v>-1012.35642166327</v>
      </c>
      <c r="H19" s="6">
        <v>-2208.3785090025599</v>
      </c>
      <c r="I19" s="46">
        <v>-4102.3144566151996</v>
      </c>
      <c r="J19" s="158">
        <v>-6855.4777315824604</v>
      </c>
      <c r="K19" s="48">
        <v>-2248.2309276531701</v>
      </c>
      <c r="L19" s="158">
        <v>-4853.4651642188201</v>
      </c>
      <c r="M19" s="158">
        <v>-6980.5928046369199</v>
      </c>
      <c r="N19" s="46">
        <v>-9696.190160470911</v>
      </c>
      <c r="O19" s="266">
        <v>-2535.1675210921203</v>
      </c>
      <c r="P19" s="158"/>
      <c r="Q19" s="158"/>
      <c r="R19" s="46"/>
    </row>
    <row r="20" spans="2:18" x14ac:dyDescent="0.25">
      <c r="B20" t="s">
        <v>97</v>
      </c>
      <c r="C20" s="33">
        <v>0</v>
      </c>
      <c r="D20" s="23">
        <v>0</v>
      </c>
      <c r="E20" s="39">
        <v>28.319344140178199</v>
      </c>
      <c r="F20" s="14">
        <v>137.28599455363099</v>
      </c>
      <c r="G20" s="10">
        <v>13.0887142803959</v>
      </c>
      <c r="H20" s="10">
        <v>12.996042809873201</v>
      </c>
      <c r="I20" s="46">
        <v>-37.844824087038603</v>
      </c>
      <c r="J20" s="158">
        <v>-12.7294906260927</v>
      </c>
      <c r="K20" s="184">
        <v>9.2812224249112809</v>
      </c>
      <c r="L20" s="192">
        <v>9.5594934403832799</v>
      </c>
      <c r="M20" s="192">
        <v>9.50283838015722</v>
      </c>
      <c r="N20" s="128">
        <v>55.802528543572699</v>
      </c>
      <c r="O20" s="274">
        <v>13.218741648327599</v>
      </c>
      <c r="P20" s="192"/>
      <c r="Q20" s="192"/>
      <c r="R20" s="128"/>
    </row>
    <row r="21" spans="2:18" x14ac:dyDescent="0.25">
      <c r="B21" t="s">
        <v>98</v>
      </c>
      <c r="C21" s="40">
        <v>-4421.5940454032407</v>
      </c>
      <c r="D21" s="39">
        <v>-7114.32605458118</v>
      </c>
      <c r="E21" s="39">
        <v>-8275.0000000000109</v>
      </c>
      <c r="F21" s="14">
        <v>-13682.906933436099</v>
      </c>
      <c r="G21" s="10">
        <v>-816.22222329386909</v>
      </c>
      <c r="H21" s="10">
        <v>-7531.2971332475499</v>
      </c>
      <c r="I21" s="46">
        <v>-10396.3099499825</v>
      </c>
      <c r="J21" s="158">
        <v>-14269.654951492601</v>
      </c>
      <c r="K21" s="184">
        <v>-11070.9956549128</v>
      </c>
      <c r="L21" s="192">
        <v>-16870.407028093799</v>
      </c>
      <c r="M21" s="192">
        <v>-22113.725567565198</v>
      </c>
      <c r="N21" s="128">
        <v>-27299.054716615199</v>
      </c>
      <c r="O21" s="274">
        <v>-4155.8725205292203</v>
      </c>
      <c r="P21" s="192"/>
      <c r="Q21" s="192"/>
      <c r="R21" s="128"/>
    </row>
    <row r="22" spans="2:18" x14ac:dyDescent="0.25">
      <c r="B22" t="s">
        <v>99</v>
      </c>
      <c r="C22" s="40">
        <v>-7005.4882620077406</v>
      </c>
      <c r="D22" s="39">
        <v>606.94316342273396</v>
      </c>
      <c r="E22" s="39">
        <v>-8504.4629725951709</v>
      </c>
      <c r="F22" s="14">
        <v>-10615.136603262299</v>
      </c>
      <c r="G22" s="39">
        <v>4450.7790232389998</v>
      </c>
      <c r="H22" s="39">
        <v>506.45312662155402</v>
      </c>
      <c r="I22" s="46">
        <v>-5417.6717808251797</v>
      </c>
      <c r="J22" s="158">
        <v>-9275.4604785292795</v>
      </c>
      <c r="K22" s="184">
        <v>-2573.3899272702502</v>
      </c>
      <c r="L22" s="192">
        <v>5004.5002471176495</v>
      </c>
      <c r="M22" s="192">
        <v>-5446.8787514116802</v>
      </c>
      <c r="N22" s="128">
        <v>-6991.29715397361</v>
      </c>
      <c r="O22" s="274">
        <v>-4134.4291960099599</v>
      </c>
      <c r="P22" s="192"/>
      <c r="Q22" s="192"/>
      <c r="R22" s="128"/>
    </row>
    <row r="23" spans="2:18" s="2" customFormat="1" x14ac:dyDescent="0.25">
      <c r="B23" t="s">
        <v>100</v>
      </c>
      <c r="C23" s="40">
        <v>1559.31828383374</v>
      </c>
      <c r="D23" s="39">
        <v>-19091.493655067599</v>
      </c>
      <c r="E23" s="39">
        <v>-9106.8756041126016</v>
      </c>
      <c r="F23" s="14">
        <v>-16391.397293258702</v>
      </c>
      <c r="G23" s="39">
        <v>840.28228948738604</v>
      </c>
      <c r="H23" s="39">
        <v>-5606.3935706003704</v>
      </c>
      <c r="I23" s="46">
        <v>-13374.928844272499</v>
      </c>
      <c r="J23" s="158">
        <v>-5264.6612158225498</v>
      </c>
      <c r="K23" s="184">
        <v>-803.05513640619802</v>
      </c>
      <c r="L23" s="192">
        <v>5888.39696261476</v>
      </c>
      <c r="M23" s="192">
        <v>-3206.5511830145401</v>
      </c>
      <c r="N23" s="128">
        <v>78.813078855782109</v>
      </c>
      <c r="O23" s="274">
        <v>-5266.83276086755</v>
      </c>
      <c r="P23" s="192"/>
      <c r="Q23" s="192"/>
      <c r="R23" s="128"/>
    </row>
    <row r="24" spans="2:18" x14ac:dyDescent="0.25">
      <c r="B24" t="s">
        <v>101</v>
      </c>
      <c r="C24" s="40">
        <v>-9249.62087870293</v>
      </c>
      <c r="D24" s="39">
        <v>-13714.984158023201</v>
      </c>
      <c r="E24" s="39">
        <v>-28726.867336482301</v>
      </c>
      <c r="F24" s="14">
        <v>-39174.664735552302</v>
      </c>
      <c r="G24" s="39">
        <v>-8874.7296404236113</v>
      </c>
      <c r="H24" s="39">
        <v>-15754.014505986299</v>
      </c>
      <c r="I24" s="46">
        <v>-18130.4501231984</v>
      </c>
      <c r="J24" s="158">
        <v>-6982.3141861820204</v>
      </c>
      <c r="K24" s="184">
        <v>-5348.6630604720795</v>
      </c>
      <c r="L24" s="192">
        <v>-4443.5679410815701</v>
      </c>
      <c r="M24" s="192">
        <v>922.47135485522995</v>
      </c>
      <c r="N24" s="128">
        <v>-752.00962015519895</v>
      </c>
      <c r="O24" s="274">
        <v>-10480.2722402132</v>
      </c>
      <c r="P24" s="192"/>
      <c r="Q24" s="192"/>
      <c r="R24" s="128"/>
    </row>
    <row r="25" spans="2:18" s="2" customFormat="1" x14ac:dyDescent="0.25">
      <c r="B25" t="s">
        <v>102</v>
      </c>
      <c r="C25" s="222">
        <v>-450</v>
      </c>
      <c r="D25" s="192">
        <v>14149.360209562205</v>
      </c>
      <c r="E25" s="192">
        <v>22065.26852582573</v>
      </c>
      <c r="F25" s="223">
        <v>10748.513470061414</v>
      </c>
      <c r="G25" s="192">
        <v>-11430.937284647767</v>
      </c>
      <c r="H25" s="192">
        <v>-23079.674815582213</v>
      </c>
      <c r="I25" s="158">
        <v>-15835.871806982132</v>
      </c>
      <c r="J25" s="158">
        <v>1771.8757446474674</v>
      </c>
      <c r="K25" s="222">
        <v>-3285.707006727861</v>
      </c>
      <c r="L25" s="192">
        <v>986.74345794487454</v>
      </c>
      <c r="M25" s="192">
        <v>-15070.349751144748</v>
      </c>
      <c r="N25" s="128">
        <v>-15755.341337768899</v>
      </c>
      <c r="O25" s="274">
        <v>-2058.5820375804201</v>
      </c>
      <c r="P25" s="192"/>
      <c r="Q25" s="192"/>
      <c r="R25" s="128"/>
    </row>
    <row r="26" spans="2:18" x14ac:dyDescent="0.25">
      <c r="B26" t="s">
        <v>103</v>
      </c>
      <c r="C26" s="222">
        <v>2833.4729923968503</v>
      </c>
      <c r="D26" s="192">
        <v>-28001.937739549601</v>
      </c>
      <c r="E26" s="192">
        <v>-18586.535479413</v>
      </c>
      <c r="F26" s="223">
        <v>-8116.5836401974402</v>
      </c>
      <c r="G26" s="192">
        <v>21636.953826699199</v>
      </c>
      <c r="H26" s="192">
        <v>31195.834247011197</v>
      </c>
      <c r="I26" s="158">
        <v>40791.1363960499</v>
      </c>
      <c r="J26" s="158">
        <v>24981.557185562</v>
      </c>
      <c r="K26" s="222">
        <v>7313.4367705473305</v>
      </c>
      <c r="L26" s="192">
        <v>2216.6521176474307</v>
      </c>
      <c r="M26" s="192">
        <v>6560.3839279101485</v>
      </c>
      <c r="N26" s="128">
        <v>23799.635766484367</v>
      </c>
      <c r="O26" s="274">
        <v>-12062.350821676122</v>
      </c>
      <c r="P26" s="192"/>
      <c r="Q26" s="192"/>
      <c r="R26" s="128"/>
    </row>
    <row r="27" spans="2:18" x14ac:dyDescent="0.25">
      <c r="B27" t="s">
        <v>104</v>
      </c>
      <c r="C27" s="222">
        <v>35.485140000001302</v>
      </c>
      <c r="D27" s="192">
        <v>-535.86873035688495</v>
      </c>
      <c r="E27" s="192">
        <v>-612.71802035688597</v>
      </c>
      <c r="F27" s="223">
        <v>-307.10254493078799</v>
      </c>
      <c r="G27" s="192">
        <v>-193.77267803353999</v>
      </c>
      <c r="H27" s="192">
        <v>-189.121898033539</v>
      </c>
      <c r="I27" s="158">
        <v>-166.38985803353901</v>
      </c>
      <c r="J27" s="158">
        <v>-227.59658382826302</v>
      </c>
      <c r="K27" s="222">
        <v>-73.323018067277602</v>
      </c>
      <c r="L27" s="192">
        <v>-73.174468067276109</v>
      </c>
      <c r="M27" s="192">
        <v>-147.18265806728598</v>
      </c>
      <c r="N27" s="128">
        <v>-148.25096320775</v>
      </c>
      <c r="O27" s="274">
        <v>-3.0290499999956602</v>
      </c>
      <c r="P27" s="192"/>
      <c r="Q27" s="192"/>
      <c r="R27" s="128"/>
    </row>
    <row r="28" spans="2:18" x14ac:dyDescent="0.25">
      <c r="B28" s="2" t="s">
        <v>105</v>
      </c>
      <c r="C28" s="224">
        <f t="shared" ref="C28:I28" si="6">SUM(C14:C27)</f>
        <v>-3435.347006553643</v>
      </c>
      <c r="D28" s="159">
        <f t="shared" si="6"/>
        <v>7905.2181084124377</v>
      </c>
      <c r="E28" s="159">
        <f t="shared" si="6"/>
        <v>28309.430097427179</v>
      </c>
      <c r="F28" s="225">
        <f t="shared" si="6"/>
        <v>30949.513036166609</v>
      </c>
      <c r="G28" s="159">
        <f t="shared" si="6"/>
        <v>42700.285698205407</v>
      </c>
      <c r="H28" s="159">
        <f t="shared" si="6"/>
        <v>54668.735317516039</v>
      </c>
      <c r="I28" s="159">
        <f t="shared" si="6"/>
        <v>102993.34668140271</v>
      </c>
      <c r="J28" s="159">
        <f>SUM(J14:J27)</f>
        <v>155063.53415503661</v>
      </c>
      <c r="K28" s="224">
        <f t="shared" ref="K28:M28" si="7">SUM(K14:K27)</f>
        <v>29311.902973520013</v>
      </c>
      <c r="L28" s="159">
        <f t="shared" si="7"/>
        <v>78237.238443983777</v>
      </c>
      <c r="M28" s="159">
        <f t="shared" si="7"/>
        <v>89114.932431287918</v>
      </c>
      <c r="N28" s="127">
        <f>SUM(N14:N27)</f>
        <v>139949.04796425079</v>
      </c>
      <c r="O28" s="273">
        <f t="shared" ref="O28:Q28" si="8">SUM(O14:O27)</f>
        <v>5144.726189246061</v>
      </c>
      <c r="P28" s="159">
        <f t="shared" si="8"/>
        <v>0</v>
      </c>
      <c r="Q28" s="159">
        <f t="shared" si="8"/>
        <v>0</v>
      </c>
      <c r="R28" s="127">
        <f>SUM(R14:R27)</f>
        <v>0</v>
      </c>
    </row>
    <row r="29" spans="2:18" x14ac:dyDescent="0.25">
      <c r="C29" s="226"/>
      <c r="D29" s="158"/>
      <c r="E29" s="158"/>
      <c r="F29" s="227"/>
      <c r="G29" s="158"/>
      <c r="H29" s="158"/>
      <c r="I29" s="158"/>
      <c r="J29" s="158"/>
      <c r="K29" s="226"/>
      <c r="L29" s="158"/>
      <c r="M29" s="158"/>
      <c r="N29" s="46"/>
      <c r="O29" s="266"/>
      <c r="P29" s="158"/>
      <c r="Q29" s="158"/>
      <c r="R29" s="46"/>
    </row>
    <row r="30" spans="2:18" x14ac:dyDescent="0.25">
      <c r="B30" t="s">
        <v>106</v>
      </c>
      <c r="C30" s="226">
        <v>-10017.008999999496</v>
      </c>
      <c r="D30" s="158">
        <v>-21783.8552528359</v>
      </c>
      <c r="E30" s="158">
        <v>-29461.115437572895</v>
      </c>
      <c r="F30" s="227">
        <v>-43713.760698839993</v>
      </c>
      <c r="G30" s="158">
        <v>-8945.6018501095186</v>
      </c>
      <c r="H30" s="158">
        <v>-15168.977130326699</v>
      </c>
      <c r="I30" s="158">
        <v>-19703.697214929201</v>
      </c>
      <c r="J30" s="158">
        <v>-40773.8221349823</v>
      </c>
      <c r="K30" s="226">
        <v>-10583.9782574366</v>
      </c>
      <c r="L30" s="158">
        <v>-39227.5925143758</v>
      </c>
      <c r="M30" s="158">
        <v>-68098.883454829396</v>
      </c>
      <c r="N30" s="46">
        <v>-109101.05892099801</v>
      </c>
      <c r="O30" s="266">
        <v>-25032.997025430701</v>
      </c>
      <c r="P30" s="158"/>
      <c r="Q30" s="158"/>
      <c r="R30" s="46"/>
    </row>
    <row r="31" spans="2:18" x14ac:dyDescent="0.25">
      <c r="B31" t="s">
        <v>107</v>
      </c>
      <c r="C31" s="226">
        <v>-85382.990999999995</v>
      </c>
      <c r="D31" s="158">
        <v>-97356.102767485092</v>
      </c>
      <c r="E31" s="158">
        <v>-88133</v>
      </c>
      <c r="F31" s="227">
        <v>-88262.344282954262</v>
      </c>
      <c r="G31" s="158">
        <v>0</v>
      </c>
      <c r="H31" s="158">
        <v>0</v>
      </c>
      <c r="I31" s="158">
        <v>0</v>
      </c>
      <c r="J31" s="158">
        <v>0</v>
      </c>
      <c r="K31" s="226">
        <v>0</v>
      </c>
      <c r="L31" s="158">
        <v>0</v>
      </c>
      <c r="M31" s="158"/>
      <c r="N31" s="46">
        <v>0</v>
      </c>
      <c r="O31" s="266"/>
      <c r="P31" s="158"/>
      <c r="Q31" s="158"/>
      <c r="R31" s="46"/>
    </row>
    <row r="32" spans="2:18" x14ac:dyDescent="0.25">
      <c r="B32" t="s">
        <v>108</v>
      </c>
      <c r="C32" s="226">
        <v>0</v>
      </c>
      <c r="D32" s="158">
        <v>662.24258948226702</v>
      </c>
      <c r="E32" s="158">
        <v>1199.6757045716699</v>
      </c>
      <c r="F32" s="227">
        <v>1231.98428115805</v>
      </c>
      <c r="G32" s="158">
        <v>0</v>
      </c>
      <c r="H32" s="158">
        <v>0</v>
      </c>
      <c r="I32" s="158">
        <v>0</v>
      </c>
      <c r="J32" s="158">
        <v>122.09372967388701</v>
      </c>
      <c r="K32" s="226">
        <v>0</v>
      </c>
      <c r="L32" s="158">
        <v>0</v>
      </c>
      <c r="M32" s="158"/>
      <c r="N32" s="46">
        <v>0</v>
      </c>
      <c r="O32" s="266"/>
      <c r="P32" s="158"/>
      <c r="Q32" s="158"/>
      <c r="R32" s="46"/>
    </row>
    <row r="33" spans="2:18" x14ac:dyDescent="0.25">
      <c r="B33" t="s">
        <v>109</v>
      </c>
      <c r="C33" s="226">
        <v>0</v>
      </c>
      <c r="D33" s="158">
        <v>0</v>
      </c>
      <c r="E33" s="158">
        <v>0</v>
      </c>
      <c r="F33" s="227">
        <v>0</v>
      </c>
      <c r="G33" s="158">
        <v>0</v>
      </c>
      <c r="H33" s="158">
        <v>3574.5212200000001</v>
      </c>
      <c r="I33" s="158">
        <v>4883.2948499999993</v>
      </c>
      <c r="J33" s="158">
        <v>4883.2948499999993</v>
      </c>
      <c r="K33" s="226">
        <v>0</v>
      </c>
      <c r="L33" s="158">
        <v>0</v>
      </c>
      <c r="M33" s="158">
        <v>2028</v>
      </c>
      <c r="N33" s="46">
        <v>2028</v>
      </c>
      <c r="O33" s="266">
        <v>0</v>
      </c>
      <c r="P33" s="158"/>
      <c r="Q33" s="158"/>
      <c r="R33" s="46"/>
    </row>
    <row r="34" spans="2:18" x14ac:dyDescent="0.25">
      <c r="B34" t="s">
        <v>110</v>
      </c>
      <c r="C34" s="226">
        <v>0</v>
      </c>
      <c r="D34" s="158">
        <v>0</v>
      </c>
      <c r="E34" s="158">
        <v>0</v>
      </c>
      <c r="F34" s="227">
        <v>0</v>
      </c>
      <c r="G34" s="158">
        <v>0</v>
      </c>
      <c r="H34" s="192">
        <v>932.55681953579801</v>
      </c>
      <c r="I34" s="158">
        <v>923.485246907842</v>
      </c>
      <c r="J34" s="158">
        <v>2018.06157227634</v>
      </c>
      <c r="K34" s="226">
        <v>4017.9905412799903</v>
      </c>
      <c r="L34" s="158">
        <v>4017.9905412798598</v>
      </c>
      <c r="M34" s="158">
        <v>4017.9905412798598</v>
      </c>
      <c r="N34" s="46">
        <v>9865.5917842355884</v>
      </c>
      <c r="O34" s="266">
        <v>1.2619420886039699E-10</v>
      </c>
      <c r="P34" s="158"/>
      <c r="Q34" s="158"/>
      <c r="R34" s="46"/>
    </row>
    <row r="35" spans="2:18" s="2" customFormat="1" x14ac:dyDescent="0.25">
      <c r="B35" t="s">
        <v>111</v>
      </c>
      <c r="C35" s="222">
        <v>1250.4327840701501</v>
      </c>
      <c r="D35" s="192">
        <v>3097.2061928538496</v>
      </c>
      <c r="E35" s="192">
        <v>3641</v>
      </c>
      <c r="F35" s="223">
        <v>4734.6678307555594</v>
      </c>
      <c r="G35" s="192">
        <v>-1375.2503690298699</v>
      </c>
      <c r="H35" s="192">
        <v>461.87800127109</v>
      </c>
      <c r="I35" s="158">
        <v>560.37024257001804</v>
      </c>
      <c r="J35" s="158">
        <v>1772.1617528586198</v>
      </c>
      <c r="K35" s="222">
        <v>441.00906612187697</v>
      </c>
      <c r="L35" s="192">
        <v>811.49194195170696</v>
      </c>
      <c r="M35" s="192">
        <v>-848.52724246045</v>
      </c>
      <c r="N35" s="128">
        <v>-305.86882413556503</v>
      </c>
      <c r="O35" s="274">
        <v>-1564.5222057420699</v>
      </c>
      <c r="P35" s="192"/>
      <c r="Q35" s="192"/>
      <c r="R35" s="128"/>
    </row>
    <row r="36" spans="2:18" x14ac:dyDescent="0.25">
      <c r="B36" s="2" t="s">
        <v>112</v>
      </c>
      <c r="C36" s="228">
        <f t="shared" ref="C36:J36" si="9">SUM(C30:C35)</f>
        <v>-94149.567215929346</v>
      </c>
      <c r="D36" s="229">
        <f t="shared" si="9"/>
        <v>-115380.50923798488</v>
      </c>
      <c r="E36" s="229">
        <f t="shared" si="9"/>
        <v>-112753.43973300123</v>
      </c>
      <c r="F36" s="230">
        <f t="shared" si="9"/>
        <v>-126009.45286988065</v>
      </c>
      <c r="G36" s="229">
        <f t="shared" si="9"/>
        <v>-10320.852219139389</v>
      </c>
      <c r="H36" s="229">
        <f t="shared" si="9"/>
        <v>-10200.021089519811</v>
      </c>
      <c r="I36" s="159">
        <f t="shared" si="9"/>
        <v>-13336.546875451344</v>
      </c>
      <c r="J36" s="159">
        <f t="shared" si="9"/>
        <v>-31978.210230173456</v>
      </c>
      <c r="K36" s="228">
        <f t="shared" ref="K36:N36" si="10">SUM(K30:K35)</f>
        <v>-6124.9786500347318</v>
      </c>
      <c r="L36" s="193">
        <f t="shared" si="10"/>
        <v>-34398.110031144228</v>
      </c>
      <c r="M36" s="193">
        <f t="shared" si="10"/>
        <v>-62901.420156009983</v>
      </c>
      <c r="N36" s="237">
        <f t="shared" si="10"/>
        <v>-97513.335960897995</v>
      </c>
      <c r="O36" s="275">
        <f t="shared" ref="O36:R36" si="11">SUM(O30:O35)</f>
        <v>-26597.519231172642</v>
      </c>
      <c r="P36" s="193">
        <f t="shared" si="11"/>
        <v>0</v>
      </c>
      <c r="Q36" s="193">
        <f t="shared" si="11"/>
        <v>0</v>
      </c>
      <c r="R36" s="237">
        <f t="shared" si="11"/>
        <v>0</v>
      </c>
    </row>
    <row r="37" spans="2:18" x14ac:dyDescent="0.25">
      <c r="C37" s="226"/>
      <c r="D37" s="158"/>
      <c r="E37" s="158"/>
      <c r="F37" s="227"/>
      <c r="G37" s="158"/>
      <c r="H37" s="158"/>
      <c r="I37" s="158"/>
      <c r="J37" s="158"/>
      <c r="K37" s="226"/>
      <c r="L37" s="158"/>
      <c r="M37" s="158"/>
      <c r="N37" s="46"/>
      <c r="O37" s="266"/>
      <c r="P37" s="158"/>
      <c r="Q37" s="158"/>
      <c r="R37" s="46"/>
    </row>
    <row r="38" spans="2:18" x14ac:dyDescent="0.25">
      <c r="B38" t="s">
        <v>174</v>
      </c>
      <c r="C38" s="226">
        <v>100317.23704564967</v>
      </c>
      <c r="D38" s="158">
        <v>127093</v>
      </c>
      <c r="E38" s="158">
        <v>119888</v>
      </c>
      <c r="F38" s="227">
        <v>147849.96751577419</v>
      </c>
      <c r="G38" s="158">
        <v>-40508</v>
      </c>
      <c r="H38" s="158">
        <v>-27575.787754268153</v>
      </c>
      <c r="I38" s="158">
        <v>-50550.502727790619</v>
      </c>
      <c r="J38" s="158">
        <v>-87293.507225442445</v>
      </c>
      <c r="K38" s="226">
        <v>-13696.899341206037</v>
      </c>
      <c r="L38" s="158">
        <v>8794.3947354076663</v>
      </c>
      <c r="M38" s="158">
        <v>40948.67816000001</v>
      </c>
      <c r="N38" s="46">
        <v>45599.213567354484</v>
      </c>
      <c r="O38" s="266">
        <v>33736.399602240694</v>
      </c>
      <c r="P38" s="158"/>
      <c r="Q38" s="158"/>
      <c r="R38" s="46"/>
    </row>
    <row r="39" spans="2:18" ht="15.75" x14ac:dyDescent="0.25">
      <c r="B39" t="s">
        <v>196</v>
      </c>
      <c r="C39" s="226">
        <v>721</v>
      </c>
      <c r="D39" s="158">
        <v>984</v>
      </c>
      <c r="E39" s="158">
        <v>-2872</v>
      </c>
      <c r="F39" s="227">
        <v>-5856</v>
      </c>
      <c r="G39" s="158">
        <v>6687</v>
      </c>
      <c r="H39" s="158">
        <v>8060</v>
      </c>
      <c r="I39" s="158">
        <v>4736</v>
      </c>
      <c r="J39" s="158">
        <v>2125</v>
      </c>
      <c r="K39" s="226">
        <v>4972</v>
      </c>
      <c r="L39" s="158">
        <v>4277</v>
      </c>
      <c r="M39" s="158">
        <v>4961</v>
      </c>
      <c r="N39" s="46">
        <v>-684</v>
      </c>
      <c r="O39" s="266">
        <v>5604.5596940699998</v>
      </c>
      <c r="P39" s="158"/>
      <c r="Q39" s="158"/>
      <c r="R39" s="46"/>
    </row>
    <row r="40" spans="2:18" x14ac:dyDescent="0.25">
      <c r="B40" t="s">
        <v>175</v>
      </c>
      <c r="C40" s="33">
        <f>-C11</f>
        <v>-730.1140191227538</v>
      </c>
      <c r="D40" s="23">
        <f>-D11</f>
        <v>-1105.645165152554</v>
      </c>
      <c r="E40" s="23">
        <f>-E11</f>
        <v>-3225.213702434532</v>
      </c>
      <c r="F40" s="12">
        <v>-5657.8827895230615</v>
      </c>
      <c r="G40" s="23">
        <f>-G11</f>
        <v>-3181.1644985012349</v>
      </c>
      <c r="H40" s="23">
        <f>-H11</f>
        <v>-6823.9849642093704</v>
      </c>
      <c r="I40" s="46">
        <f>-I11</f>
        <v>-8743.0118927103904</v>
      </c>
      <c r="J40" s="158">
        <f>-J11</f>
        <v>-11303.325434712338</v>
      </c>
      <c r="K40" s="48">
        <v>-2608.6650252071013</v>
      </c>
      <c r="L40" s="158">
        <v>-6782.5112762905492</v>
      </c>
      <c r="M40" s="158">
        <v>-10996.388595232576</v>
      </c>
      <c r="N40" s="46">
        <v>-15303.779043147921</v>
      </c>
      <c r="O40" s="266">
        <v>-4438.8259321067462</v>
      </c>
      <c r="P40" s="158"/>
      <c r="Q40" s="158"/>
      <c r="R40" s="46"/>
    </row>
    <row r="41" spans="2:18" x14ac:dyDescent="0.25">
      <c r="B41" t="s">
        <v>115</v>
      </c>
      <c r="C41" s="33">
        <v>-5127.9185057589275</v>
      </c>
      <c r="D41" s="23">
        <v>-10350.483730696058</v>
      </c>
      <c r="E41" s="23">
        <v>-14944.525656661534</v>
      </c>
      <c r="F41" s="12">
        <v>-19769.710755006981</v>
      </c>
      <c r="G41" s="23">
        <v>-4609.7163593968617</v>
      </c>
      <c r="H41" s="23">
        <v>-8776.5315126497499</v>
      </c>
      <c r="I41" s="46">
        <f>-I12+Manual!B26</f>
        <v>-12312.268601891883</v>
      </c>
      <c r="J41" s="158">
        <v>-18358.968342190179</v>
      </c>
      <c r="K41" s="48">
        <v>-5325.1047382192992</v>
      </c>
      <c r="L41" s="158">
        <v>-11039.378190275031</v>
      </c>
      <c r="M41" s="158">
        <v>-16991.00007387223</v>
      </c>
      <c r="N41" s="46">
        <v>-23589.40511541361</v>
      </c>
      <c r="O41" s="266">
        <v>-5801.3760590536003</v>
      </c>
      <c r="P41" s="158"/>
      <c r="Q41" s="158"/>
      <c r="R41" s="46"/>
    </row>
    <row r="42" spans="2:18" hidden="1" x14ac:dyDescent="0.25">
      <c r="B42" t="s">
        <v>148</v>
      </c>
      <c r="C42" s="33">
        <v>0</v>
      </c>
      <c r="D42" s="23">
        <v>0</v>
      </c>
      <c r="E42" s="23">
        <v>0</v>
      </c>
      <c r="F42" s="12">
        <v>0</v>
      </c>
      <c r="G42" s="23">
        <v>0</v>
      </c>
      <c r="H42" s="23">
        <v>0</v>
      </c>
      <c r="I42" s="23">
        <v>0</v>
      </c>
      <c r="J42" s="158"/>
      <c r="K42" s="48">
        <v>0</v>
      </c>
      <c r="L42" s="158"/>
      <c r="M42" s="158">
        <v>0</v>
      </c>
      <c r="N42" s="46"/>
      <c r="O42" s="266"/>
      <c r="P42" s="158"/>
      <c r="Q42" s="158"/>
      <c r="R42" s="46"/>
    </row>
    <row r="43" spans="2:18" x14ac:dyDescent="0.25">
      <c r="B43" t="s">
        <v>147</v>
      </c>
      <c r="C43" s="33">
        <v>0</v>
      </c>
      <c r="D43" s="23">
        <v>9239.4761476296499</v>
      </c>
      <c r="E43" s="23">
        <v>0</v>
      </c>
      <c r="F43" s="12">
        <v>0</v>
      </c>
      <c r="G43" s="23">
        <v>0</v>
      </c>
      <c r="H43" s="23">
        <v>0</v>
      </c>
      <c r="I43" s="23">
        <v>0</v>
      </c>
      <c r="J43" s="158"/>
      <c r="K43" s="48">
        <v>0</v>
      </c>
      <c r="L43" s="158">
        <v>0</v>
      </c>
      <c r="M43" s="158">
        <v>0</v>
      </c>
      <c r="N43" s="46">
        <v>0</v>
      </c>
      <c r="O43" s="266">
        <v>0</v>
      </c>
      <c r="P43" s="158"/>
      <c r="Q43" s="158"/>
      <c r="R43" s="46"/>
    </row>
    <row r="44" spans="2:18" s="2" customFormat="1" x14ac:dyDescent="0.25">
      <c r="B44" t="s">
        <v>116</v>
      </c>
      <c r="C44" s="33">
        <v>0</v>
      </c>
      <c r="D44" s="39">
        <v>-19622.758999999998</v>
      </c>
      <c r="E44" s="39">
        <v>-19622.758999999998</v>
      </c>
      <c r="F44" s="14">
        <v>-19622.758999999998</v>
      </c>
      <c r="G44" s="39">
        <v>0</v>
      </c>
      <c r="H44" s="39">
        <v>-19633.955710000002</v>
      </c>
      <c r="I44" s="128">
        <v>-19633.9557099999</v>
      </c>
      <c r="J44" s="158">
        <v>-19633.955710000002</v>
      </c>
      <c r="K44" s="184">
        <v>0</v>
      </c>
      <c r="L44" s="192">
        <v>-34430.053879999999</v>
      </c>
      <c r="M44" s="192">
        <v>-34430.053879999999</v>
      </c>
      <c r="N44" s="128">
        <v>-34430.053879999898</v>
      </c>
      <c r="O44" s="274">
        <v>0</v>
      </c>
      <c r="P44" s="192"/>
      <c r="Q44" s="192"/>
      <c r="R44" s="128"/>
    </row>
    <row r="45" spans="2:18" x14ac:dyDescent="0.25">
      <c r="B45" t="s">
        <v>117</v>
      </c>
      <c r="C45" s="33">
        <v>84.054500000000004</v>
      </c>
      <c r="D45" s="23">
        <v>38.5</v>
      </c>
      <c r="E45" s="39">
        <v>223.50042934780001</v>
      </c>
      <c r="F45" s="14">
        <v>-241.19657065219999</v>
      </c>
      <c r="G45" s="128">
        <v>0</v>
      </c>
      <c r="H45" s="128">
        <v>0</v>
      </c>
      <c r="I45" s="46">
        <f>Manual!C20</f>
        <v>-252.4</v>
      </c>
      <c r="J45" s="158">
        <v>-884.91985</v>
      </c>
      <c r="K45" s="184">
        <v>0</v>
      </c>
      <c r="L45" s="192">
        <v>0</v>
      </c>
      <c r="M45" s="192">
        <v>-1588.9318400000002</v>
      </c>
      <c r="N45" s="128">
        <v>-1813.7585800000002</v>
      </c>
      <c r="O45" s="274">
        <v>-1886.86277</v>
      </c>
      <c r="P45" s="192"/>
      <c r="Q45" s="192"/>
      <c r="R45" s="128"/>
    </row>
    <row r="46" spans="2:18" x14ac:dyDescent="0.25">
      <c r="B46" s="2" t="s">
        <v>118</v>
      </c>
      <c r="C46" s="37">
        <f t="shared" ref="C46:N46" si="12">SUM(C38:C45)</f>
        <v>95264.25902076799</v>
      </c>
      <c r="D46" s="36">
        <f t="shared" si="12"/>
        <v>106276.08825178104</v>
      </c>
      <c r="E46" s="36">
        <f t="shared" si="12"/>
        <v>79447.002070251736</v>
      </c>
      <c r="F46" s="36">
        <f t="shared" si="12"/>
        <v>96702.418400591952</v>
      </c>
      <c r="G46" s="37">
        <f t="shared" si="12"/>
        <v>-41611.880857898097</v>
      </c>
      <c r="H46" s="36">
        <f t="shared" si="12"/>
        <v>-54750.259941127275</v>
      </c>
      <c r="I46" s="127">
        <f t="shared" si="12"/>
        <v>-86756.138932392787</v>
      </c>
      <c r="J46" s="159">
        <f t="shared" si="12"/>
        <v>-135349.67656234498</v>
      </c>
      <c r="K46" s="183">
        <f t="shared" si="12"/>
        <v>-16658.669104632438</v>
      </c>
      <c r="L46" s="159">
        <f t="shared" si="12"/>
        <v>-39180.548611157916</v>
      </c>
      <c r="M46" s="159">
        <f t="shared" si="12"/>
        <v>-18096.6962291048</v>
      </c>
      <c r="N46" s="127">
        <f t="shared" si="12"/>
        <v>-30221.783051206949</v>
      </c>
      <c r="O46" s="273">
        <f t="shared" ref="O46:R46" si="13">SUM(O38:O45)</f>
        <v>27213.894535150346</v>
      </c>
      <c r="P46" s="159">
        <f t="shared" si="13"/>
        <v>0</v>
      </c>
      <c r="Q46" s="159">
        <f t="shared" si="13"/>
        <v>0</v>
      </c>
      <c r="R46" s="127">
        <f t="shared" si="13"/>
        <v>0</v>
      </c>
    </row>
    <row r="47" spans="2:18" x14ac:dyDescent="0.25">
      <c r="C47" s="33"/>
      <c r="D47" s="23"/>
      <c r="E47" s="23"/>
      <c r="F47" s="12"/>
      <c r="G47" s="23"/>
      <c r="H47" s="23"/>
      <c r="I47" s="46"/>
      <c r="J47" s="158"/>
      <c r="K47" s="48"/>
      <c r="L47" s="158"/>
      <c r="M47" s="158"/>
      <c r="N47" s="46"/>
      <c r="O47" s="266"/>
      <c r="P47" s="158"/>
      <c r="Q47" s="158"/>
      <c r="R47" s="46"/>
    </row>
    <row r="48" spans="2:18" x14ac:dyDescent="0.25">
      <c r="B48" t="s">
        <v>119</v>
      </c>
      <c r="C48" s="33">
        <v>624.76368772826095</v>
      </c>
      <c r="D48" s="23">
        <v>1223.9476613271811</v>
      </c>
      <c r="E48" s="23">
        <v>5566.2749715746795</v>
      </c>
      <c r="F48" s="12">
        <v>-21.750464224710896</v>
      </c>
      <c r="G48" s="23">
        <v>-736.84056539953804</v>
      </c>
      <c r="H48" s="23">
        <v>-178.126932851503</v>
      </c>
      <c r="I48" s="46">
        <v>-107.89034608582999</v>
      </c>
      <c r="J48" s="158">
        <v>-309.84818105711798</v>
      </c>
      <c r="K48" s="48">
        <v>58.443320977719296</v>
      </c>
      <c r="L48" s="158">
        <v>84.9645055862334</v>
      </c>
      <c r="M48" s="158">
        <v>-99.615268661994889</v>
      </c>
      <c r="N48" s="46">
        <v>2529.32323555841</v>
      </c>
      <c r="O48" s="266">
        <v>-2796.9425000731699</v>
      </c>
      <c r="P48" s="158"/>
      <c r="Q48" s="158"/>
      <c r="R48" s="46"/>
    </row>
    <row r="49" spans="2:18" x14ac:dyDescent="0.25">
      <c r="B49" t="s">
        <v>120</v>
      </c>
      <c r="C49" s="48">
        <v>-1695.6612746583328</v>
      </c>
      <c r="D49" s="46">
        <f>D28+D36+D46+D48</f>
        <v>24.74478353577183</v>
      </c>
      <c r="E49" s="46">
        <v>568.720684904623</v>
      </c>
      <c r="F49" s="49">
        <v>1620.9249489560866</v>
      </c>
      <c r="G49" s="46">
        <f>G28+G36+G46+G48</f>
        <v>-9969.2879442316171</v>
      </c>
      <c r="H49" s="46">
        <f>H28+H36+H46+H48</f>
        <v>-10459.67264598255</v>
      </c>
      <c r="I49" s="46">
        <f>I28+I36+I46+I48</f>
        <v>2792.7705274727459</v>
      </c>
      <c r="J49" s="158">
        <f>J28+J36+J46+J48</f>
        <v>-12574.200818538935</v>
      </c>
      <c r="K49" s="48">
        <f>K28+K36+K46+K48</f>
        <v>6586.6985398305615</v>
      </c>
      <c r="L49" s="158">
        <v>4743.7331645504592</v>
      </c>
      <c r="M49" s="158">
        <v>8017.3882078477927</v>
      </c>
      <c r="N49" s="46">
        <v>14743.880224671431</v>
      </c>
      <c r="O49" s="266">
        <v>2964.1589951506594</v>
      </c>
      <c r="P49" s="158"/>
      <c r="Q49" s="158"/>
      <c r="R49" s="46"/>
    </row>
    <row r="50" spans="2:18" x14ac:dyDescent="0.25">
      <c r="B50" t="s">
        <v>121</v>
      </c>
      <c r="C50" s="48">
        <v>24262.302746670801</v>
      </c>
      <c r="D50" s="46">
        <v>24262.302746670801</v>
      </c>
      <c r="E50" s="46">
        <v>24262.302746670801</v>
      </c>
      <c r="F50" s="49">
        <v>24262.302746670801</v>
      </c>
      <c r="G50" s="46">
        <v>25883.145941261399</v>
      </c>
      <c r="H50" s="46">
        <v>25883.145941261399</v>
      </c>
      <c r="I50" s="46">
        <v>25883.145941261399</v>
      </c>
      <c r="J50" s="158">
        <v>25883.145941261399</v>
      </c>
      <c r="K50" s="48">
        <v>13308.478943017901</v>
      </c>
      <c r="L50" s="158">
        <v>13308.478943017901</v>
      </c>
      <c r="M50" s="158">
        <v>13308.478943017901</v>
      </c>
      <c r="N50" s="46">
        <v>13308.478943017901</v>
      </c>
      <c r="O50" s="266">
        <v>28052.359167686998</v>
      </c>
      <c r="P50" s="158"/>
      <c r="Q50" s="158"/>
      <c r="R50" s="46"/>
    </row>
    <row r="51" spans="2:18" x14ac:dyDescent="0.25">
      <c r="B51" s="2" t="s">
        <v>122</v>
      </c>
      <c r="C51" s="37">
        <v>22566.930963645802</v>
      </c>
      <c r="D51" s="36">
        <v>24286.564302481598</v>
      </c>
      <c r="E51" s="36">
        <v>24831.140066929998</v>
      </c>
      <c r="F51" s="13">
        <v>25883.145941261399</v>
      </c>
      <c r="G51" s="36">
        <v>15913.1543536108</v>
      </c>
      <c r="H51" s="36">
        <v>15423.473297279001</v>
      </c>
      <c r="I51" s="127">
        <v>28675.916559309899</v>
      </c>
      <c r="J51" s="159">
        <v>13308.478943017901</v>
      </c>
      <c r="K51" s="183">
        <v>19895.1774848479</v>
      </c>
      <c r="L51" s="159">
        <v>18052.212107567899</v>
      </c>
      <c r="M51" s="159">
        <v>21325.0046772895</v>
      </c>
      <c r="N51" s="127">
        <v>28052.359167689334</v>
      </c>
      <c r="O51" s="273">
        <v>31016.5181628379</v>
      </c>
      <c r="P51" s="159"/>
      <c r="Q51" s="159"/>
      <c r="R51" s="127"/>
    </row>
    <row r="53" spans="2:18" ht="15.75" x14ac:dyDescent="0.25">
      <c r="B53" t="s">
        <v>201</v>
      </c>
    </row>
    <row r="55" spans="2:18" hidden="1" x14ac:dyDescent="0.25">
      <c r="B55" s="214" t="s">
        <v>173</v>
      </c>
    </row>
    <row r="56" spans="2:18" hidden="1" x14ac:dyDescent="0.25">
      <c r="B56" s="214" t="s">
        <v>92</v>
      </c>
      <c r="C56" s="219">
        <f t="shared" ref="C56:N56" si="14">+C9-SUM(C7:C8)</f>
        <v>0</v>
      </c>
      <c r="D56" s="219">
        <f t="shared" si="14"/>
        <v>0</v>
      </c>
      <c r="E56" s="219">
        <f t="shared" si="14"/>
        <v>0</v>
      </c>
      <c r="F56" s="219">
        <f t="shared" si="14"/>
        <v>0</v>
      </c>
      <c r="G56" s="219">
        <f t="shared" si="14"/>
        <v>0</v>
      </c>
      <c r="H56" s="219">
        <f t="shared" si="14"/>
        <v>0</v>
      </c>
      <c r="I56" s="219">
        <f t="shared" si="14"/>
        <v>0</v>
      </c>
      <c r="J56" s="219">
        <f t="shared" si="14"/>
        <v>0</v>
      </c>
      <c r="K56" s="219">
        <f t="shared" si="14"/>
        <v>0</v>
      </c>
      <c r="L56" s="219">
        <f t="shared" si="14"/>
        <v>0</v>
      </c>
      <c r="M56" s="219">
        <f t="shared" si="14"/>
        <v>0</v>
      </c>
      <c r="N56" s="238">
        <f t="shared" si="14"/>
        <v>0</v>
      </c>
      <c r="O56" s="219">
        <f t="shared" ref="O56:R56" si="15">+O9-SUM(O7:O8)</f>
        <v>0</v>
      </c>
      <c r="P56" s="219">
        <f t="shared" si="15"/>
        <v>0</v>
      </c>
      <c r="Q56" s="219">
        <f t="shared" si="15"/>
        <v>0</v>
      </c>
      <c r="R56" s="238">
        <f t="shared" si="15"/>
        <v>0</v>
      </c>
    </row>
    <row r="57" spans="2:18" hidden="1" x14ac:dyDescent="0.25">
      <c r="B57" s="214" t="s">
        <v>94</v>
      </c>
      <c r="C57" s="219">
        <f t="shared" ref="C57:N57" si="16">+C14-SUM(C9:C12)</f>
        <v>0</v>
      </c>
      <c r="D57" s="219">
        <f t="shared" si="16"/>
        <v>0</v>
      </c>
      <c r="E57" s="219">
        <f t="shared" si="16"/>
        <v>0</v>
      </c>
      <c r="F57" s="219">
        <f t="shared" si="16"/>
        <v>0</v>
      </c>
      <c r="G57" s="219">
        <f t="shared" si="16"/>
        <v>0</v>
      </c>
      <c r="H57" s="219">
        <f t="shared" si="16"/>
        <v>0</v>
      </c>
      <c r="I57" s="219">
        <f t="shared" si="16"/>
        <v>0</v>
      </c>
      <c r="J57" s="219">
        <f t="shared" si="16"/>
        <v>0</v>
      </c>
      <c r="K57" s="219">
        <f t="shared" si="16"/>
        <v>0</v>
      </c>
      <c r="L57" s="219">
        <f t="shared" si="16"/>
        <v>0</v>
      </c>
      <c r="M57" s="219">
        <f t="shared" si="16"/>
        <v>0</v>
      </c>
      <c r="N57" s="238">
        <f t="shared" si="16"/>
        <v>0</v>
      </c>
      <c r="O57" s="219">
        <f t="shared" ref="O57:R57" si="17">+O14-SUM(O9:O12)</f>
        <v>0</v>
      </c>
      <c r="P57" s="219">
        <f t="shared" si="17"/>
        <v>0</v>
      </c>
      <c r="Q57" s="219">
        <f t="shared" si="17"/>
        <v>0</v>
      </c>
      <c r="R57" s="238">
        <f t="shared" si="17"/>
        <v>0</v>
      </c>
    </row>
    <row r="58" spans="2:18" hidden="1" x14ac:dyDescent="0.25">
      <c r="B58" s="214" t="s">
        <v>105</v>
      </c>
      <c r="C58" s="219">
        <f t="shared" ref="C58:N58" si="18">+C28-SUM(C14:C27)</f>
        <v>0</v>
      </c>
      <c r="D58" s="219">
        <f t="shared" si="18"/>
        <v>0</v>
      </c>
      <c r="E58" s="219">
        <f t="shared" si="18"/>
        <v>0</v>
      </c>
      <c r="F58" s="219">
        <f t="shared" si="18"/>
        <v>0</v>
      </c>
      <c r="G58" s="219">
        <f t="shared" si="18"/>
        <v>0</v>
      </c>
      <c r="H58" s="219">
        <f t="shared" si="18"/>
        <v>0</v>
      </c>
      <c r="I58" s="219">
        <f t="shared" si="18"/>
        <v>0</v>
      </c>
      <c r="J58" s="219">
        <f t="shared" si="18"/>
        <v>0</v>
      </c>
      <c r="K58" s="219">
        <f t="shared" si="18"/>
        <v>0</v>
      </c>
      <c r="L58" s="219">
        <f t="shared" si="18"/>
        <v>0</v>
      </c>
      <c r="M58" s="219">
        <f t="shared" si="18"/>
        <v>0</v>
      </c>
      <c r="N58" s="238">
        <f t="shared" si="18"/>
        <v>0</v>
      </c>
      <c r="O58" s="219">
        <f t="shared" ref="O58:R58" si="19">+O28-SUM(O14:O27)</f>
        <v>0</v>
      </c>
      <c r="P58" s="219">
        <f t="shared" si="19"/>
        <v>0</v>
      </c>
      <c r="Q58" s="219">
        <f t="shared" si="19"/>
        <v>0</v>
      </c>
      <c r="R58" s="238">
        <f t="shared" si="19"/>
        <v>0</v>
      </c>
    </row>
    <row r="59" spans="2:18" hidden="1" x14ac:dyDescent="0.25">
      <c r="B59" s="214" t="s">
        <v>112</v>
      </c>
      <c r="C59" s="219">
        <f t="shared" ref="C59:N59" si="20">+C36-SUM(C30:C35)</f>
        <v>0</v>
      </c>
      <c r="D59" s="219">
        <f t="shared" si="20"/>
        <v>0</v>
      </c>
      <c r="E59" s="219">
        <f t="shared" si="20"/>
        <v>0</v>
      </c>
      <c r="F59" s="219">
        <f t="shared" si="20"/>
        <v>0</v>
      </c>
      <c r="G59" s="219">
        <f t="shared" si="20"/>
        <v>0</v>
      </c>
      <c r="H59" s="219">
        <f t="shared" si="20"/>
        <v>0</v>
      </c>
      <c r="I59" s="219">
        <f t="shared" si="20"/>
        <v>0</v>
      </c>
      <c r="J59" s="219">
        <f t="shared" si="20"/>
        <v>0</v>
      </c>
      <c r="K59" s="219">
        <f t="shared" si="20"/>
        <v>0</v>
      </c>
      <c r="L59" s="219">
        <f t="shared" si="20"/>
        <v>0</v>
      </c>
      <c r="M59" s="219">
        <f t="shared" si="20"/>
        <v>0</v>
      </c>
      <c r="N59" s="238">
        <f t="shared" si="20"/>
        <v>0</v>
      </c>
      <c r="O59" s="219">
        <f t="shared" ref="O59:R59" si="21">+O36-SUM(O30:O35)</f>
        <v>0</v>
      </c>
      <c r="P59" s="219">
        <f t="shared" si="21"/>
        <v>0</v>
      </c>
      <c r="Q59" s="219">
        <f t="shared" si="21"/>
        <v>0</v>
      </c>
      <c r="R59" s="238">
        <f t="shared" si="21"/>
        <v>0</v>
      </c>
    </row>
    <row r="60" spans="2:18" hidden="1" x14ac:dyDescent="0.25">
      <c r="B60" s="214" t="s">
        <v>118</v>
      </c>
      <c r="C60" s="219">
        <f t="shared" ref="C60:N60" si="22">+C46-SUM(C38:C45)</f>
        <v>0</v>
      </c>
      <c r="D60" s="219">
        <f t="shared" si="22"/>
        <v>0</v>
      </c>
      <c r="E60" s="219">
        <f t="shared" si="22"/>
        <v>0</v>
      </c>
      <c r="F60" s="219">
        <f t="shared" si="22"/>
        <v>0</v>
      </c>
      <c r="G60" s="219">
        <f t="shared" si="22"/>
        <v>0</v>
      </c>
      <c r="H60" s="219">
        <f t="shared" si="22"/>
        <v>0</v>
      </c>
      <c r="I60" s="219">
        <f t="shared" si="22"/>
        <v>0</v>
      </c>
      <c r="J60" s="219">
        <f t="shared" si="22"/>
        <v>0</v>
      </c>
      <c r="K60" s="219">
        <f t="shared" si="22"/>
        <v>0</v>
      </c>
      <c r="L60" s="219">
        <f t="shared" si="22"/>
        <v>0</v>
      </c>
      <c r="M60" s="219">
        <f t="shared" si="22"/>
        <v>0</v>
      </c>
      <c r="N60" s="238">
        <f t="shared" si="22"/>
        <v>0</v>
      </c>
      <c r="O60" s="219">
        <f t="shared" ref="O60:R60" si="23">+O46-SUM(O38:O45)</f>
        <v>0</v>
      </c>
      <c r="P60" s="219">
        <f t="shared" si="23"/>
        <v>0</v>
      </c>
      <c r="Q60" s="219">
        <f t="shared" si="23"/>
        <v>0</v>
      </c>
      <c r="R60" s="238">
        <f t="shared" si="23"/>
        <v>0</v>
      </c>
    </row>
    <row r="61" spans="2:18" hidden="1" x14ac:dyDescent="0.25">
      <c r="B61" s="214" t="s">
        <v>122</v>
      </c>
      <c r="C61" s="219">
        <f>+C49+C50-C51</f>
        <v>-0.28949163333527395</v>
      </c>
      <c r="D61" s="219">
        <f t="shared" ref="D61:M61" si="24">+D49+D50-D51</f>
        <v>0.48322772497340338</v>
      </c>
      <c r="E61" s="219">
        <f t="shared" si="24"/>
        <v>-0.11663535457410035</v>
      </c>
      <c r="F61" s="219">
        <f t="shared" si="24"/>
        <v>8.1754365488450276E-2</v>
      </c>
      <c r="G61" s="219">
        <f t="shared" si="24"/>
        <v>0.70364341898130078</v>
      </c>
      <c r="H61" s="219">
        <f t="shared" si="24"/>
        <v>-2.0001516531920061E-6</v>
      </c>
      <c r="I61" s="219">
        <f t="shared" si="24"/>
        <v>-9.057575516635552E-5</v>
      </c>
      <c r="J61" s="219">
        <f t="shared" si="24"/>
        <v>0.4661797045628191</v>
      </c>
      <c r="K61" s="219">
        <f t="shared" si="24"/>
        <v>-1.9994367903564125E-6</v>
      </c>
      <c r="L61" s="219">
        <f t="shared" si="24"/>
        <v>4.6202330850064754E-10</v>
      </c>
      <c r="M61" s="219">
        <f t="shared" si="24"/>
        <v>0.8624735761914053</v>
      </c>
      <c r="N61" s="238">
        <f t="shared" ref="N61:Q61" si="25">+N49+N50-N51</f>
        <v>0</v>
      </c>
      <c r="O61" s="219">
        <f t="shared" si="25"/>
        <v>-2.4010660126805305E-10</v>
      </c>
      <c r="P61" s="219">
        <f t="shared" si="25"/>
        <v>0</v>
      </c>
      <c r="Q61" s="219">
        <f t="shared" si="25"/>
        <v>0</v>
      </c>
      <c r="R61" s="238">
        <f t="shared" ref="R61" si="26">+R49+R50-R51</f>
        <v>0</v>
      </c>
    </row>
    <row r="62" spans="2:18" s="214" customFormat="1" hidden="1" x14ac:dyDescent="0.25">
      <c r="B62" s="214" t="s">
        <v>120</v>
      </c>
      <c r="C62" s="219">
        <f t="shared" ref="C62:N62" si="27">+C49-C46-C36-C28-C48</f>
        <v>0.23023932841192618</v>
      </c>
      <c r="D62" s="219">
        <f t="shared" si="27"/>
        <v>-3.865352482534945E-12</v>
      </c>
      <c r="E62" s="219">
        <f t="shared" si="27"/>
        <v>-0.54672134774591541</v>
      </c>
      <c r="F62" s="219">
        <f t="shared" si="27"/>
        <v>0.19684630289296479</v>
      </c>
      <c r="G62" s="219">
        <f t="shared" si="27"/>
        <v>-5.2295945351943374E-12</v>
      </c>
      <c r="H62" s="219">
        <f t="shared" si="27"/>
        <v>-1.5347723092418164E-12</v>
      </c>
      <c r="I62" s="219">
        <f t="shared" si="27"/>
        <v>2.6574298317427747E-12</v>
      </c>
      <c r="J62" s="219">
        <f t="shared" si="27"/>
        <v>7.787548383930698E-12</v>
      </c>
      <c r="K62" s="219">
        <f t="shared" si="27"/>
        <v>5.5422333389287814E-13</v>
      </c>
      <c r="L62" s="219">
        <f t="shared" si="27"/>
        <v>0.18885728258598533</v>
      </c>
      <c r="M62" s="219">
        <f t="shared" si="27"/>
        <v>0.18743033665447228</v>
      </c>
      <c r="N62" s="238">
        <f t="shared" si="27"/>
        <v>0.62803696718174251</v>
      </c>
      <c r="O62" s="219">
        <f t="shared" ref="O62:R62" si="28">+O49-O46-O36-O28-O48</f>
        <v>2.0000625227112323E-6</v>
      </c>
      <c r="P62" s="219">
        <f t="shared" si="28"/>
        <v>0</v>
      </c>
      <c r="Q62" s="219">
        <f t="shared" si="28"/>
        <v>0</v>
      </c>
      <c r="R62" s="238">
        <f t="shared" si="28"/>
        <v>0</v>
      </c>
    </row>
    <row r="65" spans="3:18" x14ac:dyDescent="0.25">
      <c r="C65" s="59"/>
      <c r="D65" s="59"/>
      <c r="E65" s="59"/>
      <c r="F65" s="59"/>
      <c r="G65" s="59"/>
      <c r="H65" s="59"/>
      <c r="I65" s="59"/>
      <c r="J65" s="59"/>
      <c r="K65" s="59"/>
      <c r="L65" s="59"/>
      <c r="M65" s="59"/>
      <c r="N65" s="194"/>
      <c r="O65" s="59"/>
      <c r="P65" s="59"/>
      <c r="Q65" s="59"/>
      <c r="R65" s="194"/>
    </row>
    <row r="67" spans="3:18" x14ac:dyDescent="0.25">
      <c r="C67" s="59"/>
      <c r="D67" s="59"/>
      <c r="E67" s="59"/>
      <c r="F67" s="59"/>
      <c r="G67" s="59"/>
      <c r="H67" s="59"/>
      <c r="I67" s="59"/>
      <c r="J67" s="59"/>
      <c r="K67" s="59"/>
      <c r="L67" s="59"/>
      <c r="M67" s="59"/>
      <c r="N67" s="194"/>
      <c r="O67" s="59"/>
      <c r="P67" s="59"/>
      <c r="Q67" s="59"/>
      <c r="R67" s="194"/>
    </row>
  </sheetData>
  <pageMargins left="0.7" right="0.7" top="0.75" bottom="0.75" header="0.3" footer="0.3"/>
  <pageSetup paperSize="9" orientation="portrait" r:id="rId1"/>
  <customProperties>
    <customPr name="_pios_id" r:id="rId2"/>
    <customPr name="SheetOptions" r:id="rId3"/>
  </customProperties>
  <ignoredErrors>
    <ignoredError sqref="C9:J9 I41 I45:I46 I49:J49 D49 G49:H4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1420B-E926-4520-B2F8-F4678A0CD2ED}">
  <dimension ref="A1:T60"/>
  <sheetViews>
    <sheetView showGridLines="0" zoomScale="80" zoomScaleNormal="80" workbookViewId="0">
      <selection activeCell="V29" sqref="V29"/>
    </sheetView>
  </sheetViews>
  <sheetFormatPr defaultRowHeight="15" x14ac:dyDescent="0.25"/>
  <cols>
    <col min="2" max="2" width="13.42578125" customWidth="1"/>
    <col min="3" max="5" width="19" customWidth="1"/>
    <col min="6" max="13" width="15.28515625" customWidth="1"/>
    <col min="14" max="14" width="15.7109375" style="110" customWidth="1"/>
    <col min="15" max="17" width="14.140625" hidden="1" customWidth="1"/>
    <col min="18" max="18" width="33.5703125" bestFit="1" customWidth="1"/>
    <col min="19" max="20" width="15.140625" hidden="1" customWidth="1"/>
  </cols>
  <sheetData>
    <row r="1" spans="1:20" x14ac:dyDescent="0.25">
      <c r="B1" t="s">
        <v>203</v>
      </c>
    </row>
    <row r="4" spans="1:20" x14ac:dyDescent="0.25">
      <c r="A4" s="107"/>
    </row>
    <row r="5" spans="1:20" x14ac:dyDescent="0.25">
      <c r="A5" s="107"/>
      <c r="B5" s="113" t="s">
        <v>28</v>
      </c>
      <c r="C5" s="160" t="s">
        <v>29</v>
      </c>
      <c r="D5" s="113" t="s">
        <v>30</v>
      </c>
      <c r="E5" s="11" t="s">
        <v>31</v>
      </c>
      <c r="F5" s="32" t="s">
        <v>28</v>
      </c>
      <c r="G5" s="160" t="s">
        <v>29</v>
      </c>
      <c r="H5" s="113" t="s">
        <v>30</v>
      </c>
      <c r="I5" s="11" t="s">
        <v>31</v>
      </c>
      <c r="J5" s="113" t="s">
        <v>28</v>
      </c>
      <c r="K5" s="53" t="s">
        <v>29</v>
      </c>
      <c r="L5" s="15" t="s">
        <v>30</v>
      </c>
      <c r="M5" s="15" t="s">
        <v>31</v>
      </c>
      <c r="N5" s="261" t="s">
        <v>28</v>
      </c>
      <c r="O5" s="53" t="s">
        <v>29</v>
      </c>
      <c r="P5" s="15" t="s">
        <v>30</v>
      </c>
      <c r="Q5" s="15" t="s">
        <v>31</v>
      </c>
      <c r="S5" s="25" t="s">
        <v>33</v>
      </c>
      <c r="T5" s="114" t="s">
        <v>33</v>
      </c>
    </row>
    <row r="6" spans="1:20" x14ac:dyDescent="0.25">
      <c r="A6" s="107"/>
      <c r="B6" s="16">
        <v>2022</v>
      </c>
      <c r="C6" s="54">
        <v>2022</v>
      </c>
      <c r="D6" s="16">
        <v>2022</v>
      </c>
      <c r="E6" s="17">
        <v>2022</v>
      </c>
      <c r="F6" s="30">
        <v>2023</v>
      </c>
      <c r="G6" s="16">
        <v>2023</v>
      </c>
      <c r="H6" s="16">
        <v>2023</v>
      </c>
      <c r="I6" s="17">
        <v>2023</v>
      </c>
      <c r="J6" s="16">
        <v>2024</v>
      </c>
      <c r="K6" s="16">
        <v>2024</v>
      </c>
      <c r="L6" s="16">
        <v>2024</v>
      </c>
      <c r="M6" s="16">
        <v>2024</v>
      </c>
      <c r="N6" s="262">
        <v>2025</v>
      </c>
      <c r="O6" s="16">
        <v>2025</v>
      </c>
      <c r="P6" s="16">
        <v>2025</v>
      </c>
      <c r="Q6" s="16">
        <v>2025</v>
      </c>
      <c r="S6" s="26">
        <v>2025</v>
      </c>
      <c r="T6" s="19">
        <v>2024</v>
      </c>
    </row>
    <row r="7" spans="1:20" x14ac:dyDescent="0.25">
      <c r="A7" s="107"/>
      <c r="B7" s="107"/>
      <c r="C7" s="107"/>
      <c r="D7" s="107"/>
      <c r="E7" s="316"/>
      <c r="F7" s="31"/>
      <c r="G7" s="107"/>
      <c r="H7" s="107"/>
      <c r="I7" s="316"/>
      <c r="N7" s="263"/>
      <c r="S7" s="71"/>
    </row>
    <row r="8" spans="1:20" x14ac:dyDescent="0.25">
      <c r="A8" s="107"/>
      <c r="B8" s="107"/>
      <c r="C8" s="107"/>
      <c r="D8" s="107"/>
      <c r="E8" s="316"/>
      <c r="F8" s="31"/>
      <c r="G8" s="107"/>
      <c r="H8" s="107"/>
      <c r="I8" s="316"/>
      <c r="N8" s="264"/>
      <c r="R8" s="20" t="s">
        <v>149</v>
      </c>
      <c r="S8" s="71"/>
    </row>
    <row r="9" spans="1:20" x14ac:dyDescent="0.25">
      <c r="A9" s="107"/>
      <c r="B9" s="317">
        <v>175044.19044380408</v>
      </c>
      <c r="C9" s="317">
        <v>205016.69500913759</v>
      </c>
      <c r="D9" s="317">
        <v>207904.05167428532</v>
      </c>
      <c r="E9" s="318">
        <v>198169.70342129498</v>
      </c>
      <c r="F9" s="324">
        <v>213511.15955694401</v>
      </c>
      <c r="G9" s="317">
        <v>216309.42586008701</v>
      </c>
      <c r="H9" s="317">
        <v>221253.43692776791</v>
      </c>
      <c r="I9" s="318">
        <v>219406.09246945757</v>
      </c>
      <c r="J9" s="4">
        <v>230523.74813351146</v>
      </c>
      <c r="K9" s="4">
        <v>219513.12617418112</v>
      </c>
      <c r="L9" s="4">
        <v>217726.77474545769</v>
      </c>
      <c r="M9" s="4">
        <v>206249.05063032918</v>
      </c>
      <c r="N9" s="265">
        <v>228991.1269369825</v>
      </c>
      <c r="R9" s="245" t="s">
        <v>140</v>
      </c>
      <c r="S9" s="71"/>
    </row>
    <row r="10" spans="1:20" x14ac:dyDescent="0.25">
      <c r="A10" s="107"/>
      <c r="B10" s="317">
        <v>-161872.36213119817</v>
      </c>
      <c r="C10" s="317">
        <v>-177966.85774536259</v>
      </c>
      <c r="D10" s="317">
        <v>-183114.91562127392</v>
      </c>
      <c r="E10" s="318">
        <v>-171030.60518433829</v>
      </c>
      <c r="F10" s="324">
        <v>-181826.83496421727</v>
      </c>
      <c r="G10" s="317">
        <v>-181065.33500903525</v>
      </c>
      <c r="H10" s="317">
        <v>-181100.21102921129</v>
      </c>
      <c r="I10" s="318">
        <v>-191011.00287893057</v>
      </c>
      <c r="J10" s="4">
        <v>-193611.52344436495</v>
      </c>
      <c r="K10" s="4">
        <v>-183617.56847246224</v>
      </c>
      <c r="L10" s="4">
        <v>-181775.9260837503</v>
      </c>
      <c r="M10" s="4">
        <v>-175021.36273630138</v>
      </c>
      <c r="N10" s="266">
        <v>-192983.73289651098</v>
      </c>
      <c r="R10" s="245" t="s">
        <v>153</v>
      </c>
      <c r="S10" s="71"/>
    </row>
    <row r="11" spans="1:20" x14ac:dyDescent="0.25">
      <c r="A11" s="107"/>
      <c r="B11" s="317">
        <v>-10798.110562165572</v>
      </c>
      <c r="C11" s="317">
        <v>-14784.660073425031</v>
      </c>
      <c r="D11" s="317">
        <v>-13139.661557832502</v>
      </c>
      <c r="E11" s="318">
        <v>-14122.587603034601</v>
      </c>
      <c r="F11" s="324">
        <v>-12850.4036588332</v>
      </c>
      <c r="G11" s="317">
        <v>-12414.942012261299</v>
      </c>
      <c r="H11" s="317">
        <v>-13222.804326220199</v>
      </c>
      <c r="I11" s="318">
        <v>-12100.873295978199</v>
      </c>
      <c r="J11" s="4">
        <v>-13713.278470907901</v>
      </c>
      <c r="K11" s="4">
        <v>-12599.1888366638</v>
      </c>
      <c r="L11" s="4">
        <v>-13916.9582177016</v>
      </c>
      <c r="M11" s="4">
        <v>-14787.213742882601</v>
      </c>
      <c r="N11" s="265">
        <v>-13242.949282114902</v>
      </c>
      <c r="R11" s="245" t="s">
        <v>154</v>
      </c>
      <c r="S11" s="71"/>
    </row>
    <row r="12" spans="1:20" s="2" customFormat="1" x14ac:dyDescent="0.25">
      <c r="A12" s="109"/>
      <c r="B12" s="319">
        <v>-4255.7619960000393</v>
      </c>
      <c r="C12" s="319">
        <v>1636</v>
      </c>
      <c r="D12" s="317">
        <v>-1266.6611153571819</v>
      </c>
      <c r="E12" s="318">
        <v>-1173.11457</v>
      </c>
      <c r="F12" s="324">
        <v>-76.685649999999995</v>
      </c>
      <c r="G12" s="317">
        <v>-91.202029999999993</v>
      </c>
      <c r="H12" s="317">
        <v>-399.54572999999999</v>
      </c>
      <c r="I12" s="318">
        <v>-618.37510999999995</v>
      </c>
      <c r="J12" s="4">
        <v>-159.63697467771001</v>
      </c>
      <c r="K12" s="4">
        <v>-415.12527377104703</v>
      </c>
      <c r="L12" s="4">
        <v>-96.880185371305998</v>
      </c>
      <c r="M12" s="4">
        <v>-1896.6206382575801</v>
      </c>
      <c r="N12" s="267">
        <v>-36.629084644000699</v>
      </c>
      <c r="R12" s="245" t="s">
        <v>155</v>
      </c>
      <c r="S12" s="244"/>
    </row>
    <row r="13" spans="1:20" x14ac:dyDescent="0.25">
      <c r="A13" s="107"/>
      <c r="B13" s="317">
        <v>-1882.0442455597004</v>
      </c>
      <c r="C13" s="317">
        <v>13901.177190349968</v>
      </c>
      <c r="D13" s="317">
        <v>10382.81337982172</v>
      </c>
      <c r="E13" s="318">
        <v>11843.396063922091</v>
      </c>
      <c r="F13" s="324">
        <v>18757.23528389354</v>
      </c>
      <c r="G13" s="317">
        <v>22737.946808790461</v>
      </c>
      <c r="H13" s="317">
        <v>26531.275842335712</v>
      </c>
      <c r="I13" s="325">
        <v>15675.841184548801</v>
      </c>
      <c r="J13" s="247">
        <v>23039.309243560896</v>
      </c>
      <c r="K13" s="247">
        <v>22881.24359128403</v>
      </c>
      <c r="L13" s="247">
        <v>21937.010258634491</v>
      </c>
      <c r="M13" s="247">
        <v>14543.853512887614</v>
      </c>
      <c r="N13" s="265">
        <v>22727.815673712619</v>
      </c>
      <c r="R13" s="245" t="s">
        <v>41</v>
      </c>
      <c r="S13" s="71"/>
    </row>
    <row r="14" spans="1:20" x14ac:dyDescent="0.25">
      <c r="A14" s="107"/>
      <c r="B14" s="317">
        <v>13171.82831260591</v>
      </c>
      <c r="C14" s="317">
        <v>27049.837263775</v>
      </c>
      <c r="D14" s="317">
        <v>24789.136053011403</v>
      </c>
      <c r="E14" s="318">
        <v>27139.098236956692</v>
      </c>
      <c r="F14" s="324">
        <v>31684.324592726742</v>
      </c>
      <c r="G14" s="317">
        <v>35244.090851052402</v>
      </c>
      <c r="H14" s="317">
        <v>40152.169057767904</v>
      </c>
      <c r="I14" s="325">
        <v>28395.089590527001</v>
      </c>
      <c r="J14" s="247">
        <v>36912.224689146504</v>
      </c>
      <c r="K14" s="247">
        <v>35895.557701718877</v>
      </c>
      <c r="L14" s="247">
        <v>35947.910291707391</v>
      </c>
      <c r="M14" s="247">
        <v>31229.381574027797</v>
      </c>
      <c r="N14" s="265">
        <v>36007.653500471526</v>
      </c>
      <c r="R14" s="245" t="s">
        <v>146</v>
      </c>
      <c r="S14" s="71"/>
    </row>
    <row r="15" spans="1:20" x14ac:dyDescent="0.25">
      <c r="A15" s="107"/>
      <c r="B15" s="317">
        <v>20098.345987605942</v>
      </c>
      <c r="C15" s="317">
        <v>21951.738290775022</v>
      </c>
      <c r="D15" s="317">
        <v>24466.051932497096</v>
      </c>
      <c r="E15" s="318">
        <v>27767.321491407809</v>
      </c>
      <c r="F15" s="324">
        <v>31683.52397272674</v>
      </c>
      <c r="G15" s="317">
        <v>35235.879706052401</v>
      </c>
      <c r="H15" s="317">
        <v>40152.358028556693</v>
      </c>
      <c r="I15" s="325">
        <v>28291.588425526999</v>
      </c>
      <c r="J15" s="247">
        <v>36913.946229146502</v>
      </c>
      <c r="K15" s="247">
        <v>35895.557701718877</v>
      </c>
      <c r="L15" s="247">
        <v>35947.910291707391</v>
      </c>
      <c r="M15" s="247">
        <v>31229.381574027797</v>
      </c>
      <c r="N15" s="266">
        <v>36007.653500471526</v>
      </c>
      <c r="R15" s="245" t="s">
        <v>156</v>
      </c>
      <c r="S15" s="71"/>
    </row>
    <row r="16" spans="1:20" x14ac:dyDescent="0.25">
      <c r="A16" s="107"/>
      <c r="B16" s="320">
        <f t="shared" ref="B16:N16" si="0">+B15/B9</f>
        <v>0.11481869770512769</v>
      </c>
      <c r="C16" s="321">
        <f>+C15/C9</f>
        <v>0.10707293027914938</v>
      </c>
      <c r="D16" s="321">
        <f t="shared" si="0"/>
        <v>0.11767953407097158</v>
      </c>
      <c r="E16" s="322">
        <f t="shared" si="0"/>
        <v>0.14011890320275858</v>
      </c>
      <c r="F16" s="326">
        <f t="shared" si="0"/>
        <v>0.14839282423678962</v>
      </c>
      <c r="G16" s="320">
        <f t="shared" si="0"/>
        <v>0.16289572017468915</v>
      </c>
      <c r="H16" s="320">
        <f t="shared" si="0"/>
        <v>0.18147676522496298</v>
      </c>
      <c r="I16" s="322">
        <f t="shared" si="0"/>
        <v>0.12894622982935322</v>
      </c>
      <c r="J16" s="246">
        <f t="shared" si="0"/>
        <v>0.16013077406570367</v>
      </c>
      <c r="K16" s="246">
        <f t="shared" si="0"/>
        <v>0.163523513729362</v>
      </c>
      <c r="L16" s="246">
        <f t="shared" si="0"/>
        <v>0.16510560234832741</v>
      </c>
      <c r="M16" s="246">
        <f t="shared" si="0"/>
        <v>0.15141588035719897</v>
      </c>
      <c r="N16" s="268">
        <f t="shared" si="0"/>
        <v>0.15724475433661977</v>
      </c>
      <c r="R16" s="1" t="s">
        <v>198</v>
      </c>
      <c r="S16" s="71"/>
    </row>
    <row r="17" spans="1:19" x14ac:dyDescent="0.25">
      <c r="A17" s="107"/>
      <c r="B17" s="317"/>
      <c r="C17" s="323"/>
      <c r="D17" s="323"/>
      <c r="E17" s="318"/>
      <c r="F17" s="324"/>
      <c r="G17" s="327"/>
      <c r="H17" s="327"/>
      <c r="I17" s="325"/>
      <c r="J17" s="247"/>
      <c r="K17" s="247"/>
      <c r="L17" s="247"/>
      <c r="M17" s="247"/>
      <c r="N17" s="265"/>
      <c r="R17" s="245"/>
      <c r="S17" s="71"/>
    </row>
    <row r="18" spans="1:19" x14ac:dyDescent="0.25">
      <c r="A18" s="107"/>
      <c r="B18" s="317"/>
      <c r="C18" s="323"/>
      <c r="D18" s="323"/>
      <c r="E18" s="318"/>
      <c r="F18" s="324"/>
      <c r="G18" s="327"/>
      <c r="H18" s="327"/>
      <c r="I18" s="325"/>
      <c r="J18" s="247"/>
      <c r="K18" s="247"/>
      <c r="L18" s="247"/>
      <c r="M18" s="247"/>
      <c r="N18" s="269"/>
      <c r="R18" s="20" t="s">
        <v>150</v>
      </c>
      <c r="S18" s="71"/>
    </row>
    <row r="19" spans="1:19" x14ac:dyDescent="0.25">
      <c r="A19" s="107"/>
      <c r="B19" s="317">
        <v>57665.691781141497</v>
      </c>
      <c r="C19" s="323">
        <v>61328.910384375697</v>
      </c>
      <c r="D19" s="323">
        <v>68832.998041922707</v>
      </c>
      <c r="E19" s="318">
        <v>72706.909755959496</v>
      </c>
      <c r="F19" s="324">
        <v>73155.746801033893</v>
      </c>
      <c r="G19" s="327">
        <v>64990.5921263942</v>
      </c>
      <c r="H19" s="327">
        <v>72081.418853755677</v>
      </c>
      <c r="I19" s="325">
        <v>80456.069337895926</v>
      </c>
      <c r="J19" s="247">
        <v>74003.328914423008</v>
      </c>
      <c r="K19" s="247">
        <v>72868.810976247012</v>
      </c>
      <c r="L19" s="247">
        <v>79321.78873144633</v>
      </c>
      <c r="M19" s="247">
        <v>84222.273648347182</v>
      </c>
      <c r="N19" s="265">
        <v>93982.876602480246</v>
      </c>
      <c r="R19" s="245" t="s">
        <v>140</v>
      </c>
      <c r="S19" s="71"/>
    </row>
    <row r="20" spans="1:19" x14ac:dyDescent="0.25">
      <c r="A20" s="107"/>
      <c r="B20" s="317">
        <v>-47880.828568681762</v>
      </c>
      <c r="C20" s="323">
        <v>-50877.824827621174</v>
      </c>
      <c r="D20" s="323">
        <v>-56773.05518416089</v>
      </c>
      <c r="E20" s="318">
        <v>-58026.650833989261</v>
      </c>
      <c r="F20" s="324">
        <v>-57642.530054711962</v>
      </c>
      <c r="G20" s="327">
        <v>-51631.718066979302</v>
      </c>
      <c r="H20" s="327">
        <v>-57529.613336659131</v>
      </c>
      <c r="I20" s="325">
        <v>-63850.957951691838</v>
      </c>
      <c r="J20" s="247">
        <v>-58871.33928090494</v>
      </c>
      <c r="K20" s="247">
        <v>-58331.451646395217</v>
      </c>
      <c r="L20" s="247">
        <v>-63851.504478731658</v>
      </c>
      <c r="M20" s="247">
        <v>-68086.581552170173</v>
      </c>
      <c r="N20" s="265">
        <v>-77940.885245836034</v>
      </c>
      <c r="R20" s="245" t="s">
        <v>153</v>
      </c>
      <c r="S20" s="71"/>
    </row>
    <row r="21" spans="1:19" x14ac:dyDescent="0.25">
      <c r="A21" s="107"/>
      <c r="B21" s="317">
        <v>-1562.1550535510598</v>
      </c>
      <c r="C21" s="323">
        <v>-1811.0712377700802</v>
      </c>
      <c r="D21" s="323">
        <v>-1939.7007146725998</v>
      </c>
      <c r="E21" s="318">
        <v>-1850.83005943641</v>
      </c>
      <c r="F21" s="324">
        <v>-1754.0661909140599</v>
      </c>
      <c r="G21" s="327">
        <v>-1746.5086560352399</v>
      </c>
      <c r="H21" s="327">
        <v>-1831.2419745591499</v>
      </c>
      <c r="I21" s="325">
        <v>-1827.5570837794701</v>
      </c>
      <c r="J21" s="247">
        <v>-1745.6331644222</v>
      </c>
      <c r="K21" s="247">
        <v>-1908.55954894207</v>
      </c>
      <c r="L21" s="247">
        <v>-2255.1226507138699</v>
      </c>
      <c r="M21" s="247">
        <v>-2139.96692927806</v>
      </c>
      <c r="N21" s="266">
        <v>-2303.2101367321497</v>
      </c>
      <c r="R21" s="245" t="s">
        <v>154</v>
      </c>
      <c r="S21" s="71"/>
    </row>
    <row r="22" spans="1:19" x14ac:dyDescent="0.25">
      <c r="A22" s="107"/>
      <c r="B22" s="317">
        <v>0</v>
      </c>
      <c r="C22" s="323">
        <v>0</v>
      </c>
      <c r="D22" s="323">
        <v>0</v>
      </c>
      <c r="E22" s="318">
        <v>-261.14653211816</v>
      </c>
      <c r="F22" s="324">
        <v>0</v>
      </c>
      <c r="G22" s="327">
        <v>0</v>
      </c>
      <c r="H22" s="327">
        <v>0</v>
      </c>
      <c r="I22" s="325">
        <v>0</v>
      </c>
      <c r="J22" s="247">
        <v>0</v>
      </c>
      <c r="K22" s="247">
        <v>0</v>
      </c>
      <c r="L22" s="247">
        <v>0</v>
      </c>
      <c r="M22" s="247">
        <v>0</v>
      </c>
      <c r="N22" s="265">
        <v>0</v>
      </c>
      <c r="R22" s="245" t="s">
        <v>155</v>
      </c>
      <c r="S22" s="71"/>
    </row>
    <row r="23" spans="1:19" x14ac:dyDescent="0.25">
      <c r="A23" s="107"/>
      <c r="B23" s="317">
        <v>8222.7081589086756</v>
      </c>
      <c r="C23" s="323">
        <v>8640.0143189844421</v>
      </c>
      <c r="D23" s="323">
        <v>10120.242143089217</v>
      </c>
      <c r="E23" s="318">
        <v>12568.282330415665</v>
      </c>
      <c r="F23" s="324">
        <v>13759.15055540787</v>
      </c>
      <c r="G23" s="327">
        <v>11612.365403379659</v>
      </c>
      <c r="H23" s="327">
        <v>12720.563542537395</v>
      </c>
      <c r="I23" s="325">
        <v>14777.554302424618</v>
      </c>
      <c r="J23" s="247">
        <v>13386.356469095866</v>
      </c>
      <c r="K23" s="247">
        <v>12628.799780909725</v>
      </c>
      <c r="L23" s="247">
        <v>13215.1616020008</v>
      </c>
      <c r="M23" s="247">
        <v>13995.725166898948</v>
      </c>
      <c r="N23" s="265">
        <v>13738.781219912062</v>
      </c>
      <c r="R23" s="245" t="s">
        <v>41</v>
      </c>
      <c r="S23" s="71"/>
    </row>
    <row r="24" spans="1:19" x14ac:dyDescent="0.25">
      <c r="A24" s="107"/>
      <c r="B24" s="317">
        <v>10696.858615481837</v>
      </c>
      <c r="C24" s="323">
        <v>11471.46638930806</v>
      </c>
      <c r="D24" s="323">
        <v>13515.061028390581</v>
      </c>
      <c r="E24" s="318">
        <v>15670.908826256897</v>
      </c>
      <c r="F24" s="324">
        <v>16525</v>
      </c>
      <c r="G24" s="327">
        <v>14555</v>
      </c>
      <c r="H24" s="327">
        <v>16446.622671368332</v>
      </c>
      <c r="I24" s="325">
        <v>19358.274661171359</v>
      </c>
      <c r="J24" s="247">
        <v>17380.220561171271</v>
      </c>
      <c r="K24" s="247">
        <v>17142.593566417439</v>
      </c>
      <c r="L24" s="247">
        <v>17600.350263132772</v>
      </c>
      <c r="M24" s="247">
        <v>18849.595772010998</v>
      </c>
      <c r="N24" s="267">
        <v>18576.899417736331</v>
      </c>
      <c r="R24" s="245" t="s">
        <v>146</v>
      </c>
      <c r="S24" s="71"/>
    </row>
    <row r="25" spans="1:19" x14ac:dyDescent="0.25">
      <c r="A25" s="107"/>
      <c r="B25" s="317">
        <v>10717.017940481832</v>
      </c>
      <c r="C25" s="323">
        <v>11466.816234308082</v>
      </c>
      <c r="D25" s="323">
        <v>13587.811398390597</v>
      </c>
      <c r="E25" s="318">
        <v>15694.407626256934</v>
      </c>
      <c r="F25" s="324">
        <v>16526.373787985201</v>
      </c>
      <c r="G25" s="327">
        <v>14563.107291754137</v>
      </c>
      <c r="H25" s="327">
        <v>16447.009334709201</v>
      </c>
      <c r="I25" s="325">
        <v>19361.775826171346</v>
      </c>
      <c r="J25" s="247">
        <v>17378.499021171236</v>
      </c>
      <c r="K25" s="247">
        <v>17142.593566417436</v>
      </c>
      <c r="L25" s="247">
        <v>17600.350263132772</v>
      </c>
      <c r="M25" s="247">
        <v>18849.595772010998</v>
      </c>
      <c r="N25" s="270">
        <v>18576.899417736331</v>
      </c>
      <c r="O25" s="243" t="e">
        <f t="shared" ref="O25:Q25" si="1">+O24/O19</f>
        <v>#DIV/0!</v>
      </c>
      <c r="P25" s="243" t="e">
        <f t="shared" si="1"/>
        <v>#DIV/0!</v>
      </c>
      <c r="Q25" s="243" t="e">
        <f t="shared" si="1"/>
        <v>#DIV/0!</v>
      </c>
      <c r="R25" s="245" t="s">
        <v>156</v>
      </c>
      <c r="S25" s="71"/>
    </row>
    <row r="26" spans="1:19" x14ac:dyDescent="0.25">
      <c r="A26" s="107"/>
      <c r="B26" s="320">
        <f>+B25/B19</f>
        <v>0.18584738359085523</v>
      </c>
      <c r="C26" s="321">
        <f t="shared" ref="C26:N26" si="2">+C25/C19</f>
        <v>0.18697244354156006</v>
      </c>
      <c r="D26" s="321">
        <f t="shared" si="2"/>
        <v>0.19740257993869373</v>
      </c>
      <c r="E26" s="322">
        <f t="shared" si="2"/>
        <v>0.21585854327924486</v>
      </c>
      <c r="F26" s="326">
        <f t="shared" si="2"/>
        <v>0.22590670604365476</v>
      </c>
      <c r="G26" s="320">
        <f t="shared" si="2"/>
        <v>0.22408023708157165</v>
      </c>
      <c r="H26" s="320">
        <f t="shared" si="2"/>
        <v>0.22817266358308175</v>
      </c>
      <c r="I26" s="322">
        <f t="shared" si="2"/>
        <v>0.24065028263879754</v>
      </c>
      <c r="J26" s="246">
        <f t="shared" si="2"/>
        <v>0.23483401728140668</v>
      </c>
      <c r="K26" s="246">
        <f t="shared" si="2"/>
        <v>0.23525282403750752</v>
      </c>
      <c r="L26" s="246">
        <f t="shared" si="2"/>
        <v>0.22188544338959529</v>
      </c>
      <c r="M26" s="246">
        <f t="shared" si="2"/>
        <v>0.22380772870979021</v>
      </c>
      <c r="N26" s="268">
        <f t="shared" si="2"/>
        <v>0.19766259652075896</v>
      </c>
      <c r="R26" s="1" t="s">
        <v>198</v>
      </c>
      <c r="S26" s="71"/>
    </row>
    <row r="27" spans="1:19" x14ac:dyDescent="0.25">
      <c r="A27" s="107"/>
      <c r="B27" s="317"/>
      <c r="C27" s="323"/>
      <c r="D27" s="323"/>
      <c r="E27" s="318"/>
      <c r="F27" s="324"/>
      <c r="G27" s="317"/>
      <c r="H27" s="327"/>
      <c r="I27" s="325"/>
      <c r="J27" s="247"/>
      <c r="K27" s="247"/>
      <c r="L27" s="247"/>
      <c r="M27" s="247"/>
      <c r="N27" s="266"/>
      <c r="R27" s="245"/>
      <c r="S27" s="71"/>
    </row>
    <row r="28" spans="1:19" x14ac:dyDescent="0.25">
      <c r="A28" s="107"/>
      <c r="B28" s="317"/>
      <c r="C28" s="323"/>
      <c r="D28" s="323"/>
      <c r="E28" s="318"/>
      <c r="F28" s="324"/>
      <c r="G28" s="317"/>
      <c r="H28" s="317"/>
      <c r="I28" s="325"/>
      <c r="J28" s="247"/>
      <c r="K28" s="247"/>
      <c r="L28" s="247"/>
      <c r="M28" s="247"/>
      <c r="N28" s="265"/>
      <c r="R28" s="20" t="s">
        <v>151</v>
      </c>
      <c r="S28" s="71"/>
    </row>
    <row r="29" spans="1:19" x14ac:dyDescent="0.25">
      <c r="A29" s="107"/>
      <c r="B29" s="317">
        <v>-6948.6630952554915</v>
      </c>
      <c r="C29" s="323">
        <v>-7833.5319390316799</v>
      </c>
      <c r="D29" s="323">
        <v>-4312.1134555897006</v>
      </c>
      <c r="E29" s="318">
        <v>-3720.5790917344566</v>
      </c>
      <c r="F29" s="324">
        <v>-3273.3703275938897</v>
      </c>
      <c r="G29" s="317">
        <v>-3220.0831226569235</v>
      </c>
      <c r="H29" s="317">
        <v>-9841.9831193641658</v>
      </c>
      <c r="I29" s="325">
        <v>-12679.41627532285</v>
      </c>
      <c r="J29" s="4">
        <v>-12603.024196803368</v>
      </c>
      <c r="K29" s="247">
        <v>-3997.4938019938868</v>
      </c>
      <c r="L29" s="247">
        <v>-4221.216630320092</v>
      </c>
      <c r="M29" s="247">
        <v>-7015.8639698913012</v>
      </c>
      <c r="N29" s="265">
        <v>-12652.573429531441</v>
      </c>
      <c r="R29" s="245" t="s">
        <v>140</v>
      </c>
      <c r="S29" s="71"/>
    </row>
    <row r="30" spans="1:19" x14ac:dyDescent="0.25">
      <c r="A30" s="107"/>
      <c r="B30" s="317">
        <v>-969.60317109554046</v>
      </c>
      <c r="C30" s="323">
        <v>247.39132973619954</v>
      </c>
      <c r="D30" s="323">
        <v>-1851.0627619332161</v>
      </c>
      <c r="E30" s="318">
        <v>-3836.2925040757782</v>
      </c>
      <c r="F30" s="324">
        <v>-3966.797325216131</v>
      </c>
      <c r="G30" s="317">
        <v>-5028.2000868365676</v>
      </c>
      <c r="H30" s="317">
        <v>1569.5454441796501</v>
      </c>
      <c r="I30" s="325">
        <v>5045.2187142766861</v>
      </c>
      <c r="J30" s="4">
        <v>4449.0558744725304</v>
      </c>
      <c r="K30" s="247">
        <v>-5288.4741352511292</v>
      </c>
      <c r="L30" s="247">
        <v>-3949.9063529454061</v>
      </c>
      <c r="M30" s="247">
        <v>-2234.2826048763895</v>
      </c>
      <c r="N30" s="267">
        <v>2715.9246333004094</v>
      </c>
      <c r="R30" s="245" t="s">
        <v>153</v>
      </c>
      <c r="S30" s="71"/>
    </row>
    <row r="31" spans="1:19" x14ac:dyDescent="0.25">
      <c r="A31" s="107"/>
      <c r="B31" s="317">
        <v>-683.8602425016395</v>
      </c>
      <c r="C31" s="323">
        <v>-679.73725105191988</v>
      </c>
      <c r="D31" s="323">
        <v>-686.49509795359995</v>
      </c>
      <c r="E31" s="318">
        <v>-749.44606052528798</v>
      </c>
      <c r="F31" s="324">
        <v>-618.64983872434095</v>
      </c>
      <c r="G31" s="317">
        <v>-608.80643517066096</v>
      </c>
      <c r="H31" s="317">
        <v>-604.33489452135177</v>
      </c>
      <c r="I31" s="325">
        <v>-566.31707108213163</v>
      </c>
      <c r="J31" s="4">
        <v>-425.94224205909904</v>
      </c>
      <c r="K31" s="247">
        <v>-408.50469493143123</v>
      </c>
      <c r="L31" s="247">
        <v>-395.41730405322869</v>
      </c>
      <c r="M31" s="247">
        <v>-80.856084802440819</v>
      </c>
      <c r="N31" s="265">
        <v>-349.04393608024884</v>
      </c>
      <c r="R31" s="245" t="s">
        <v>154</v>
      </c>
      <c r="S31" s="71"/>
    </row>
    <row r="32" spans="1:19" x14ac:dyDescent="0.25">
      <c r="A32" s="107"/>
      <c r="B32" s="317">
        <v>0</v>
      </c>
      <c r="C32" s="323">
        <v>0</v>
      </c>
      <c r="D32" s="323">
        <v>0</v>
      </c>
      <c r="E32" s="318">
        <v>0</v>
      </c>
      <c r="F32" s="324">
        <v>0</v>
      </c>
      <c r="G32" s="317">
        <v>0</v>
      </c>
      <c r="H32" s="317">
        <v>0</v>
      </c>
      <c r="I32" s="325">
        <v>0</v>
      </c>
      <c r="J32" s="4">
        <v>0</v>
      </c>
      <c r="K32" s="247">
        <v>0</v>
      </c>
      <c r="L32" s="247">
        <v>0</v>
      </c>
      <c r="M32" s="247">
        <v>0</v>
      </c>
      <c r="N32" s="265">
        <v>0</v>
      </c>
      <c r="R32" s="245" t="s">
        <v>155</v>
      </c>
      <c r="S32" s="71"/>
    </row>
    <row r="33" spans="1:19" x14ac:dyDescent="0.25">
      <c r="A33" s="107"/>
      <c r="B33" s="317">
        <v>-8601.8265088526714</v>
      </c>
      <c r="C33" s="323">
        <v>-8265.8778603474002</v>
      </c>
      <c r="D33" s="323">
        <v>-6849.6713154765166</v>
      </c>
      <c r="E33" s="318">
        <v>-8306.3176563355228</v>
      </c>
      <c r="F33" s="324">
        <v>-7858.8174915343616</v>
      </c>
      <c r="G33" s="317">
        <v>-8858.4197346634046</v>
      </c>
      <c r="H33" s="317">
        <v>-8876.7725697058668</v>
      </c>
      <c r="I33" s="325">
        <v>-8200.5146321282955</v>
      </c>
      <c r="J33" s="4">
        <v>-8579.9105643899366</v>
      </c>
      <c r="K33" s="247">
        <v>-9694.4726321764465</v>
      </c>
      <c r="L33" s="247">
        <v>-8566.5402873187268</v>
      </c>
      <c r="M33" s="247">
        <v>-9331.0026595701311</v>
      </c>
      <c r="N33" s="266">
        <v>-10285.69273231128</v>
      </c>
      <c r="R33" s="245" t="s">
        <v>41</v>
      </c>
      <c r="S33" s="71"/>
    </row>
    <row r="34" spans="1:19" x14ac:dyDescent="0.25">
      <c r="A34" s="107"/>
      <c r="B34" s="317">
        <v>-7918.2662663510318</v>
      </c>
      <c r="C34" s="323">
        <v>-7586.1406092954803</v>
      </c>
      <c r="D34" s="323">
        <v>-6163.1762175229169</v>
      </c>
      <c r="E34" s="318">
        <v>-7556.8715958102348</v>
      </c>
      <c r="F34" s="324">
        <v>-7240.1676528100206</v>
      </c>
      <c r="G34" s="317">
        <v>-8248.2832094934965</v>
      </c>
      <c r="H34" s="317">
        <v>-8271.8831193655969</v>
      </c>
      <c r="I34" s="325">
        <v>-7634.1975610461641</v>
      </c>
      <c r="J34" s="4">
        <v>-8153.9683223308375</v>
      </c>
      <c r="K34" s="247">
        <v>-9285.9679372450155</v>
      </c>
      <c r="L34" s="247">
        <v>-8171.1229832654981</v>
      </c>
      <c r="M34" s="247">
        <v>-9250.1465747676903</v>
      </c>
      <c r="N34" s="265">
        <v>-9936.6487962310312</v>
      </c>
      <c r="R34" s="245" t="s">
        <v>146</v>
      </c>
      <c r="S34" s="71"/>
    </row>
    <row r="35" spans="1:19" x14ac:dyDescent="0.25">
      <c r="A35" s="107"/>
      <c r="B35" s="317">
        <v>-5848.0162663510318</v>
      </c>
      <c r="C35" s="323">
        <v>-6953.1406092954803</v>
      </c>
      <c r="D35" s="323">
        <v>-6016.2802175229172</v>
      </c>
      <c r="E35" s="318">
        <v>-7518.9575958102387</v>
      </c>
      <c r="F35" s="324">
        <v>-7240.1676528100206</v>
      </c>
      <c r="G35" s="317">
        <v>-8248.2832094934965</v>
      </c>
      <c r="H35" s="317">
        <v>-8272.4376751860218</v>
      </c>
      <c r="I35" s="325">
        <v>-7634.1975610461641</v>
      </c>
      <c r="J35" s="4">
        <v>-8153.9683223308375</v>
      </c>
      <c r="K35" s="247">
        <v>-9285.9679372450155</v>
      </c>
      <c r="L35" s="247">
        <v>-8171.1229832654981</v>
      </c>
      <c r="M35" s="247">
        <v>-9250.1465747676903</v>
      </c>
      <c r="N35" s="265">
        <v>-9936.6487962310312</v>
      </c>
      <c r="R35" s="245" t="s">
        <v>156</v>
      </c>
      <c r="S35" s="71"/>
    </row>
    <row r="36" spans="1:19" x14ac:dyDescent="0.25">
      <c r="A36" s="107"/>
      <c r="B36" s="107"/>
      <c r="C36" s="161"/>
      <c r="D36" s="161"/>
      <c r="E36" s="316"/>
      <c r="F36" s="31"/>
      <c r="G36" s="107"/>
      <c r="H36" s="107"/>
      <c r="I36" s="316"/>
      <c r="K36" s="110"/>
      <c r="L36" s="110"/>
      <c r="M36" s="110"/>
      <c r="N36" s="269"/>
      <c r="R36" s="1"/>
      <c r="S36" s="71"/>
    </row>
    <row r="37" spans="1:19" x14ac:dyDescent="0.25">
      <c r="A37" s="107"/>
      <c r="B37" s="317"/>
      <c r="C37" s="323"/>
      <c r="D37" s="161"/>
      <c r="E37" s="316"/>
      <c r="F37" s="31"/>
      <c r="G37" s="107"/>
      <c r="H37" s="107"/>
      <c r="I37" s="316"/>
      <c r="L37" s="110"/>
      <c r="M37" s="110"/>
      <c r="N37" s="265"/>
      <c r="R37" s="20" t="s">
        <v>152</v>
      </c>
      <c r="S37" s="71"/>
    </row>
    <row r="38" spans="1:19" x14ac:dyDescent="0.25">
      <c r="A38" s="107"/>
      <c r="B38" s="317">
        <v>225761.21912969009</v>
      </c>
      <c r="C38" s="323">
        <v>258512.07345448161</v>
      </c>
      <c r="D38" s="323">
        <v>272424.93626061833</v>
      </c>
      <c r="E38" s="318">
        <v>267156.03408551996</v>
      </c>
      <c r="F38" s="324">
        <v>283393.53603038401</v>
      </c>
      <c r="G38" s="317">
        <v>278079.93486382486</v>
      </c>
      <c r="H38" s="317">
        <v>283493.27266215871</v>
      </c>
      <c r="I38" s="318">
        <v>287182.74553203065</v>
      </c>
      <c r="J38" s="4">
        <v>291924.05285113107</v>
      </c>
      <c r="K38" s="4">
        <v>288384.44334843423</v>
      </c>
      <c r="L38" s="247">
        <v>292827.34684658394</v>
      </c>
      <c r="M38" s="247">
        <v>283455.46030878508</v>
      </c>
      <c r="N38" s="265">
        <v>310321.43010993133</v>
      </c>
      <c r="R38" s="245" t="s">
        <v>140</v>
      </c>
      <c r="S38" s="71"/>
    </row>
    <row r="39" spans="1:19" x14ac:dyDescent="0.25">
      <c r="A39" s="107"/>
      <c r="B39" s="317">
        <v>-210722.7938709755</v>
      </c>
      <c r="C39" s="323">
        <v>-228597.29124324754</v>
      </c>
      <c r="D39" s="323">
        <v>-241739.03356736799</v>
      </c>
      <c r="E39" s="318">
        <v>-232893.54852240335</v>
      </c>
      <c r="F39" s="324">
        <v>-243436.16234414536</v>
      </c>
      <c r="G39" s="317">
        <v>-237725.25316285112</v>
      </c>
      <c r="H39" s="317">
        <v>-237060.27892169077</v>
      </c>
      <c r="I39" s="318">
        <v>-249816.74211634573</v>
      </c>
      <c r="J39" s="4">
        <v>-248033.80685079735</v>
      </c>
      <c r="K39" s="4">
        <v>-247237.49425410858</v>
      </c>
      <c r="L39" s="247">
        <v>-249577.33691542735</v>
      </c>
      <c r="M39" s="247">
        <v>-245342.22689334792</v>
      </c>
      <c r="N39" s="266">
        <v>-268208.69350904663</v>
      </c>
      <c r="R39" s="245" t="s">
        <v>153</v>
      </c>
      <c r="S39" s="71"/>
    </row>
    <row r="40" spans="1:19" x14ac:dyDescent="0.25">
      <c r="A40" s="107"/>
      <c r="B40" s="317">
        <v>-13044.125858218269</v>
      </c>
      <c r="C40" s="323">
        <v>-17275.468562247032</v>
      </c>
      <c r="D40" s="323">
        <v>-15764.857370458702</v>
      </c>
      <c r="E40" s="318">
        <v>-16722.863722996299</v>
      </c>
      <c r="F40" s="324">
        <v>-15223.119688471601</v>
      </c>
      <c r="G40" s="317">
        <v>-14770.2571034672</v>
      </c>
      <c r="H40" s="317">
        <v>-15658.381195300701</v>
      </c>
      <c r="I40" s="318">
        <v>-14494.747450839801</v>
      </c>
      <c r="J40" s="4">
        <v>-15884.8538773892</v>
      </c>
      <c r="K40" s="4">
        <v>-14916.253080537301</v>
      </c>
      <c r="L40" s="247">
        <v>-16567.498172468699</v>
      </c>
      <c r="M40" s="247">
        <v>-17008.036756963105</v>
      </c>
      <c r="N40" s="265">
        <v>-15895.2033549273</v>
      </c>
      <c r="R40" s="245" t="s">
        <v>154</v>
      </c>
      <c r="S40" s="71"/>
    </row>
    <row r="41" spans="1:19" x14ac:dyDescent="0.25">
      <c r="A41" s="107"/>
      <c r="B41" s="317">
        <v>-4255.7619960000393</v>
      </c>
      <c r="C41" s="323">
        <v>1636</v>
      </c>
      <c r="D41" s="323">
        <v>-1266.6611153571819</v>
      </c>
      <c r="E41" s="318">
        <v>-1434.2611021181599</v>
      </c>
      <c r="F41" s="324">
        <v>-76.685649999999995</v>
      </c>
      <c r="G41" s="317">
        <v>-91.202029999999993</v>
      </c>
      <c r="H41" s="317">
        <v>-399.54572999999999</v>
      </c>
      <c r="I41" s="318">
        <v>-618.37510999999995</v>
      </c>
      <c r="J41" s="4">
        <v>-159.63697467771001</v>
      </c>
      <c r="K41" s="4">
        <v>-415.12527377104703</v>
      </c>
      <c r="L41" s="247">
        <v>-96.880185371305998</v>
      </c>
      <c r="M41" s="247">
        <v>-1896.6206382575801</v>
      </c>
      <c r="N41" s="265">
        <v>-36.629084644000699</v>
      </c>
      <c r="R41" s="245" t="s">
        <v>155</v>
      </c>
      <c r="S41" s="71"/>
    </row>
    <row r="42" spans="1:19" x14ac:dyDescent="0.25">
      <c r="A42" s="107"/>
      <c r="B42" s="317">
        <v>-2260.4625955037191</v>
      </c>
      <c r="C42" s="323">
        <v>14275.313648987034</v>
      </c>
      <c r="D42" s="323">
        <v>13654.38420743445</v>
      </c>
      <c r="E42" s="318">
        <v>16105.360738002155</v>
      </c>
      <c r="F42" s="324">
        <v>24657.568347767057</v>
      </c>
      <c r="G42" s="317">
        <v>25491.892477506713</v>
      </c>
      <c r="H42" s="317">
        <v>30375.066815167233</v>
      </c>
      <c r="I42" s="318">
        <v>22252.880854845112</v>
      </c>
      <c r="J42" s="4">
        <v>27845.75514826682</v>
      </c>
      <c r="K42" s="4">
        <v>25815.570740017312</v>
      </c>
      <c r="L42" s="247">
        <v>26585.631573316568</v>
      </c>
      <c r="M42" s="247">
        <v>19208.576020216431</v>
      </c>
      <c r="N42" s="267">
        <v>26180.9041613134</v>
      </c>
      <c r="R42" s="245" t="s">
        <v>41</v>
      </c>
      <c r="S42" s="71"/>
    </row>
    <row r="43" spans="1:19" x14ac:dyDescent="0.25">
      <c r="A43" s="107"/>
      <c r="B43" s="317">
        <v>15950.420661736716</v>
      </c>
      <c r="C43" s="323">
        <v>30935.163043787579</v>
      </c>
      <c r="D43" s="323">
        <v>32141.020863879072</v>
      </c>
      <c r="E43" s="318">
        <v>35253.135467403357</v>
      </c>
      <c r="F43" s="324">
        <v>40970</v>
      </c>
      <c r="G43" s="317">
        <v>41551</v>
      </c>
      <c r="H43" s="317">
        <v>48327</v>
      </c>
      <c r="I43" s="318">
        <v>40119.166690652193</v>
      </c>
      <c r="J43" s="4">
        <v>46138.476927986936</v>
      </c>
      <c r="K43" s="4">
        <v>43752.183330891305</v>
      </c>
      <c r="L43" s="247">
        <v>45377.137571574662</v>
      </c>
      <c r="M43" s="247">
        <v>40828.830771271103</v>
      </c>
      <c r="N43" s="265">
        <v>44647.904121976826</v>
      </c>
      <c r="R43" s="245" t="s">
        <v>146</v>
      </c>
      <c r="S43" s="71"/>
    </row>
    <row r="44" spans="1:19" x14ac:dyDescent="0.25">
      <c r="A44" s="107"/>
      <c r="B44" s="317">
        <v>24967.347661736745</v>
      </c>
      <c r="C44" s="323">
        <v>26465.413915787627</v>
      </c>
      <c r="D44" s="323">
        <v>32037.583113364773</v>
      </c>
      <c r="E44" s="318">
        <v>35942.771521854505</v>
      </c>
      <c r="F44" s="324">
        <v>40969.730107901923</v>
      </c>
      <c r="G44" s="317">
        <v>41550.70378831304</v>
      </c>
      <c r="H44" s="317">
        <v>48326.929688079865</v>
      </c>
      <c r="I44" s="318">
        <v>40019</v>
      </c>
      <c r="J44" s="4">
        <v>46138.4769279869</v>
      </c>
      <c r="K44" s="4">
        <v>43752.18333089129</v>
      </c>
      <c r="L44" s="247">
        <v>45377.137571574662</v>
      </c>
      <c r="M44" s="247">
        <v>40828.830771271103</v>
      </c>
      <c r="N44" s="265">
        <v>44647.904121976826</v>
      </c>
      <c r="R44" s="245" t="s">
        <v>156</v>
      </c>
      <c r="S44" s="71"/>
    </row>
    <row r="45" spans="1:19" x14ac:dyDescent="0.25">
      <c r="A45" s="107"/>
      <c r="B45" s="320">
        <f>+B44/B38</f>
        <v>0.11059183573682813</v>
      </c>
      <c r="C45" s="321">
        <f t="shared" ref="C45:Q45" si="3">+C44/C38</f>
        <v>0.10237592992130642</v>
      </c>
      <c r="D45" s="321">
        <f t="shared" si="3"/>
        <v>0.11760150723763285</v>
      </c>
      <c r="E45" s="322">
        <f t="shared" si="3"/>
        <v>0.1345384978665643</v>
      </c>
      <c r="F45" s="326">
        <f t="shared" si="3"/>
        <v>0.14456832954548884</v>
      </c>
      <c r="G45" s="320">
        <f t="shared" si="3"/>
        <v>0.14941999971576636</v>
      </c>
      <c r="H45" s="320">
        <f t="shared" si="3"/>
        <v>0.17046940562032831</v>
      </c>
      <c r="I45" s="322">
        <f t="shared" si="3"/>
        <v>0.13935029392473205</v>
      </c>
      <c r="J45" s="246">
        <f t="shared" si="3"/>
        <v>0.15804959021830098</v>
      </c>
      <c r="K45" s="246">
        <f t="shared" si="3"/>
        <v>0.15171478330413499</v>
      </c>
      <c r="L45" s="246">
        <f t="shared" si="3"/>
        <v>0.1549620896416766</v>
      </c>
      <c r="M45" s="246">
        <f t="shared" si="3"/>
        <v>0.1440396693250989</v>
      </c>
      <c r="N45" s="271">
        <f>+N44/N38</f>
        <v>0.14387631594170056</v>
      </c>
      <c r="O45" s="243" t="e">
        <f t="shared" si="3"/>
        <v>#DIV/0!</v>
      </c>
      <c r="P45" s="243" t="e">
        <f t="shared" si="3"/>
        <v>#DIV/0!</v>
      </c>
      <c r="Q45" s="243" t="e">
        <f t="shared" si="3"/>
        <v>#DIV/0!</v>
      </c>
      <c r="R45" s="1" t="s">
        <v>198</v>
      </c>
      <c r="S45" s="71"/>
    </row>
    <row r="46" spans="1:19" x14ac:dyDescent="0.25">
      <c r="A46" s="107"/>
      <c r="L46" s="110"/>
      <c r="M46" s="110"/>
      <c r="N46"/>
    </row>
    <row r="47" spans="1:19" x14ac:dyDescent="0.25">
      <c r="A47" s="107"/>
      <c r="B47" s="242"/>
      <c r="C47" s="4"/>
      <c r="L47" s="110"/>
      <c r="M47" s="110"/>
      <c r="N47"/>
    </row>
    <row r="48" spans="1:19" x14ac:dyDescent="0.25">
      <c r="A48" s="107"/>
      <c r="B48" s="4"/>
      <c r="C48" s="4"/>
      <c r="L48" s="110"/>
      <c r="M48" s="110"/>
      <c r="N48"/>
    </row>
    <row r="49" spans="2:14" x14ac:dyDescent="0.25">
      <c r="L49" s="110"/>
      <c r="M49" s="110"/>
    </row>
    <row r="50" spans="2:14" hidden="1" x14ac:dyDescent="0.25">
      <c r="L50" s="110"/>
      <c r="M50" s="110"/>
    </row>
    <row r="51" spans="2:14" hidden="1" x14ac:dyDescent="0.25">
      <c r="B51" s="4"/>
      <c r="C51" s="4"/>
      <c r="L51" s="110"/>
      <c r="M51" s="110"/>
      <c r="N51" s="194"/>
    </row>
    <row r="52" spans="2:14" hidden="1" x14ac:dyDescent="0.25">
      <c r="B52" s="4"/>
      <c r="C52" s="4"/>
      <c r="L52" s="110"/>
      <c r="M52" s="110"/>
      <c r="N52" s="59"/>
    </row>
    <row r="53" spans="2:14" hidden="1" x14ac:dyDescent="0.25">
      <c r="B53" s="4"/>
      <c r="E53" s="4"/>
      <c r="G53" s="4"/>
      <c r="H53" s="4"/>
      <c r="K53" s="4"/>
      <c r="L53" s="247"/>
      <c r="M53" s="110"/>
      <c r="N53" s="59"/>
    </row>
    <row r="54" spans="2:14" hidden="1" x14ac:dyDescent="0.25">
      <c r="B54" s="4"/>
      <c r="C54" s="115"/>
      <c r="E54" s="4"/>
      <c r="G54" s="4"/>
      <c r="H54" s="4"/>
      <c r="K54" s="4"/>
      <c r="L54" s="247"/>
      <c r="M54" s="110"/>
      <c r="N54" s="4"/>
    </row>
    <row r="55" spans="2:14" hidden="1" x14ac:dyDescent="0.25">
      <c r="B55" s="4"/>
      <c r="C55" s="115"/>
      <c r="L55" s="110"/>
      <c r="M55" s="110"/>
      <c r="N55" s="59"/>
    </row>
    <row r="56" spans="2:14" hidden="1" x14ac:dyDescent="0.25">
      <c r="B56" s="4"/>
      <c r="C56" s="115"/>
      <c r="L56" s="110"/>
      <c r="M56" s="110"/>
      <c r="N56" s="4"/>
    </row>
    <row r="57" spans="2:14" hidden="1" x14ac:dyDescent="0.25">
      <c r="C57" s="2"/>
      <c r="L57" s="110"/>
      <c r="M57" s="110"/>
      <c r="N57" s="59"/>
    </row>
    <row r="58" spans="2:14" hidden="1" x14ac:dyDescent="0.25">
      <c r="L58" s="110"/>
      <c r="M58" s="110"/>
    </row>
    <row r="59" spans="2:14" hidden="1" x14ac:dyDescent="0.25">
      <c r="L59" s="110"/>
      <c r="M59" s="110"/>
    </row>
    <row r="60" spans="2:14" x14ac:dyDescent="0.25">
      <c r="L60" s="110"/>
      <c r="M60" s="110"/>
    </row>
  </sheetData>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FAAEB-800F-47BD-BA7C-E7511E4E7695}">
  <dimension ref="A1:AT292"/>
  <sheetViews>
    <sheetView zoomScale="80" zoomScaleNormal="80" workbookViewId="0">
      <selection activeCell="W8" sqref="W8"/>
    </sheetView>
  </sheetViews>
  <sheetFormatPr defaultRowHeight="15" x14ac:dyDescent="0.25"/>
  <cols>
    <col min="1" max="1" width="34" style="251" customWidth="1"/>
    <col min="2" max="18" width="10.7109375" style="251" customWidth="1"/>
    <col min="19" max="16384" width="9.140625" style="251"/>
  </cols>
  <sheetData>
    <row r="1" s="249" customFormat="1" x14ac:dyDescent="0.25"/>
    <row r="2" s="249" customFormat="1" x14ac:dyDescent="0.25"/>
    <row r="3" s="249" customFormat="1" x14ac:dyDescent="0.25"/>
    <row r="4" s="249" customFormat="1" x14ac:dyDescent="0.25"/>
    <row r="5" s="249" customFormat="1" x14ac:dyDescent="0.25"/>
    <row r="6" s="249" customFormat="1" x14ac:dyDescent="0.25"/>
    <row r="7" s="249" customFormat="1" x14ac:dyDescent="0.25"/>
    <row r="8" s="249" customFormat="1" x14ac:dyDescent="0.25"/>
    <row r="9" s="249" customFormat="1" x14ac:dyDescent="0.25"/>
    <row r="10" s="249" customFormat="1" x14ac:dyDescent="0.25"/>
    <row r="11" s="249" customFormat="1" x14ac:dyDescent="0.25"/>
    <row r="12" s="249" customFormat="1" x14ac:dyDescent="0.25"/>
    <row r="13" s="249" customFormat="1" x14ac:dyDescent="0.25"/>
    <row r="14" s="249" customFormat="1" x14ac:dyDescent="0.25"/>
    <row r="15" s="249" customFormat="1" x14ac:dyDescent="0.25"/>
    <row r="16" s="249" customFormat="1" x14ac:dyDescent="0.25"/>
    <row r="17" spans="1:46" s="249" customFormat="1" x14ac:dyDescent="0.25"/>
    <row r="18" spans="1:46" s="249" customFormat="1" x14ac:dyDescent="0.25"/>
    <row r="19" spans="1:46" s="249" customFormat="1" x14ac:dyDescent="0.25"/>
    <row r="20" spans="1:46" s="253" customFormat="1" ht="11.25" customHeight="1" x14ac:dyDescent="0.25">
      <c r="A20" s="252"/>
      <c r="B20" s="309"/>
      <c r="C20" s="310"/>
      <c r="D20" s="310"/>
      <c r="E20" s="310"/>
      <c r="F20" s="310"/>
      <c r="G20" s="310"/>
      <c r="H20" s="310"/>
      <c r="I20" s="310"/>
      <c r="J20" s="310"/>
      <c r="K20" s="310"/>
      <c r="L20" s="310"/>
      <c r="M20" s="310"/>
      <c r="N20" s="310"/>
      <c r="O20" s="310"/>
      <c r="P20" s="310"/>
      <c r="Q20" s="310"/>
      <c r="R20" s="311"/>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row>
    <row r="21" spans="1:46" s="255" customFormat="1" ht="18.75" customHeight="1" x14ac:dyDescent="0.25">
      <c r="A21" s="52" t="s">
        <v>204</v>
      </c>
      <c r="B21" s="309"/>
      <c r="C21" s="254"/>
      <c r="D21" s="309"/>
      <c r="E21" s="309"/>
      <c r="F21" s="309"/>
      <c r="G21" s="309"/>
      <c r="H21" s="309"/>
      <c r="I21" s="309"/>
      <c r="J21" s="309"/>
      <c r="K21" s="309"/>
      <c r="L21" s="309"/>
      <c r="M21" s="309"/>
      <c r="N21" s="309"/>
      <c r="O21" s="309"/>
      <c r="P21" s="309"/>
      <c r="Q21" s="309"/>
      <c r="R21" s="309"/>
      <c r="S21" s="309"/>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row>
    <row r="22" spans="1:46" s="255" customFormat="1" ht="18.75" customHeight="1" x14ac:dyDescent="0.25">
      <c r="B22" s="309"/>
      <c r="D22" s="309"/>
      <c r="E22" s="309"/>
      <c r="F22" s="309"/>
      <c r="G22" s="309"/>
      <c r="H22" s="309"/>
      <c r="I22" s="309"/>
      <c r="J22" s="309"/>
      <c r="K22" s="309"/>
      <c r="L22" s="309"/>
      <c r="M22" s="309"/>
      <c r="N22" s="309"/>
      <c r="O22" s="309"/>
      <c r="P22" s="309"/>
      <c r="Q22" s="309"/>
      <c r="R22" s="309"/>
      <c r="S22" s="309"/>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row>
    <row r="23" spans="1:46" s="257" customFormat="1" ht="17.25" customHeight="1" x14ac:dyDescent="0.25">
      <c r="A23" s="339" t="s">
        <v>205</v>
      </c>
      <c r="B23" s="54" t="s">
        <v>176</v>
      </c>
      <c r="C23" s="54" t="s">
        <v>177</v>
      </c>
      <c r="D23" s="54" t="s">
        <v>178</v>
      </c>
      <c r="E23" s="328" t="s">
        <v>179</v>
      </c>
      <c r="F23" s="54" t="s">
        <v>180</v>
      </c>
      <c r="G23" s="54" t="s">
        <v>181</v>
      </c>
      <c r="H23" s="54" t="s">
        <v>182</v>
      </c>
      <c r="I23" s="328" t="s">
        <v>183</v>
      </c>
      <c r="J23" s="54" t="s">
        <v>184</v>
      </c>
      <c r="K23" s="54" t="s">
        <v>185</v>
      </c>
      <c r="L23" s="54" t="s">
        <v>186</v>
      </c>
      <c r="M23" s="328" t="s">
        <v>187</v>
      </c>
      <c r="N23" s="54" t="s">
        <v>188</v>
      </c>
      <c r="O23" s="54" t="s">
        <v>189</v>
      </c>
      <c r="P23" s="54" t="s">
        <v>190</v>
      </c>
      <c r="Q23" s="328" t="s">
        <v>191</v>
      </c>
      <c r="R23" s="315" t="s">
        <v>202</v>
      </c>
      <c r="S23" s="254"/>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row>
    <row r="24" spans="1:46" s="253" customFormat="1" ht="11.25" customHeight="1" x14ac:dyDescent="0.25">
      <c r="A24" s="336"/>
      <c r="B24" s="329"/>
      <c r="C24" s="329"/>
      <c r="D24" s="329"/>
      <c r="E24" s="330"/>
      <c r="F24" s="333"/>
      <c r="G24" s="329"/>
      <c r="H24" s="329"/>
      <c r="I24" s="330"/>
      <c r="J24" s="333"/>
      <c r="K24" s="329"/>
      <c r="L24" s="329"/>
      <c r="M24" s="330"/>
      <c r="N24" s="333"/>
      <c r="O24" s="329"/>
      <c r="P24" s="329"/>
      <c r="Q24" s="330"/>
      <c r="R24" s="312"/>
      <c r="S24" s="254"/>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row>
    <row r="25" spans="1:46" s="252" customFormat="1" x14ac:dyDescent="0.25">
      <c r="A25" s="337" t="s">
        <v>192</v>
      </c>
      <c r="B25" s="258">
        <v>222.79504619004499</v>
      </c>
      <c r="C25" s="258">
        <v>242.05996282858101</v>
      </c>
      <c r="D25" s="258">
        <v>216.3135460330441</v>
      </c>
      <c r="E25" s="331">
        <v>215.24265121163489</v>
      </c>
      <c r="F25" s="334">
        <v>225.7632191296901</v>
      </c>
      <c r="G25" s="258">
        <v>258.51165461320977</v>
      </c>
      <c r="H25" s="258">
        <v>272.42460251010402</v>
      </c>
      <c r="I25" s="331">
        <v>267.15603408551999</v>
      </c>
      <c r="J25" s="334">
        <v>283.39353613138303</v>
      </c>
      <c r="K25" s="258">
        <v>278.079934863826</v>
      </c>
      <c r="L25" s="258">
        <v>283.53127266215802</v>
      </c>
      <c r="M25" s="331">
        <v>287.18274553202895</v>
      </c>
      <c r="N25" s="334">
        <v>291.92405295213098</v>
      </c>
      <c r="O25" s="258">
        <v>288.38444334843399</v>
      </c>
      <c r="P25" s="258">
        <v>292.82734684658402</v>
      </c>
      <c r="Q25" s="331">
        <v>283.45546030878302</v>
      </c>
      <c r="R25" s="313">
        <v>310.321430210931</v>
      </c>
      <c r="S25" s="254"/>
    </row>
    <row r="26" spans="1:46" s="252" customFormat="1" x14ac:dyDescent="0.25">
      <c r="A26" s="337" t="s">
        <v>193</v>
      </c>
      <c r="B26" s="258">
        <f t="shared" ref="B26:R26" si="0">B25-B28</f>
        <v>218.85467743995733</v>
      </c>
      <c r="C26" s="258">
        <f t="shared" si="0"/>
        <v>237.62414070330132</v>
      </c>
      <c r="D26" s="258">
        <f t="shared" si="0"/>
        <v>214.61265618563894</v>
      </c>
      <c r="E26" s="331">
        <f t="shared" si="0"/>
        <v>220.60194880231003</v>
      </c>
      <c r="F26" s="334">
        <f t="shared" si="0"/>
        <v>225.28214346544365</v>
      </c>
      <c r="G26" s="258">
        <f t="shared" si="0"/>
        <v>255.10907211653102</v>
      </c>
      <c r="H26" s="258">
        <f t="shared" si="0"/>
        <v>271.68456029333578</v>
      </c>
      <c r="I26" s="331">
        <f t="shared" si="0"/>
        <v>269.04073208153386</v>
      </c>
      <c r="J26" s="334">
        <f t="shared" si="0"/>
        <v>273.46761868026317</v>
      </c>
      <c r="K26" s="258">
        <f t="shared" si="0"/>
        <v>276.37302739623584</v>
      </c>
      <c r="L26" s="258">
        <f t="shared" si="0"/>
        <v>279.28608910693845</v>
      </c>
      <c r="M26" s="331">
        <f t="shared" si="0"/>
        <v>297.83350897075951</v>
      </c>
      <c r="N26" s="334">
        <f t="shared" si="0"/>
        <v>288.16735570345224</v>
      </c>
      <c r="O26" s="258">
        <f t="shared" si="0"/>
        <v>293.13619898709561</v>
      </c>
      <c r="P26" s="258">
        <f t="shared" si="0"/>
        <v>291.8875980425459</v>
      </c>
      <c r="Q26" s="331">
        <f t="shared" si="0"/>
        <v>289.28836259577696</v>
      </c>
      <c r="R26" s="313">
        <f t="shared" si="0"/>
        <v>304.06641873642815</v>
      </c>
      <c r="S26" s="254"/>
    </row>
    <row r="27" spans="1:46" s="252" customFormat="1" x14ac:dyDescent="0.25">
      <c r="A27" s="337"/>
      <c r="B27" s="258"/>
      <c r="C27" s="258"/>
      <c r="D27" s="258"/>
      <c r="E27" s="331"/>
      <c r="F27" s="334"/>
      <c r="G27" s="258"/>
      <c r="H27" s="258"/>
      <c r="I27" s="331"/>
      <c r="J27" s="334"/>
      <c r="K27" s="258"/>
      <c r="L27" s="258"/>
      <c r="M27" s="331"/>
      <c r="N27" s="334"/>
      <c r="O27" s="258"/>
      <c r="P27" s="258"/>
      <c r="Q27" s="331"/>
      <c r="R27" s="313"/>
      <c r="S27" s="254"/>
    </row>
    <row r="28" spans="1:46" s="254" customFormat="1" collapsed="1" x14ac:dyDescent="0.25">
      <c r="A28" s="337" t="s">
        <v>194</v>
      </c>
      <c r="B28" s="258">
        <v>3.9403687500876501</v>
      </c>
      <c r="C28" s="258">
        <v>4.4358221252796906</v>
      </c>
      <c r="D28" s="258">
        <v>1.7008898474051701</v>
      </c>
      <c r="E28" s="331">
        <v>-5.3592975906751397</v>
      </c>
      <c r="F28" s="334">
        <v>0.48107566424644022</v>
      </c>
      <c r="G28" s="258">
        <v>3.4025824966787601</v>
      </c>
      <c r="H28" s="258">
        <v>0.740042216768239</v>
      </c>
      <c r="I28" s="331">
        <v>-1.884697996013845</v>
      </c>
      <c r="J28" s="334">
        <v>9.9259174511198403</v>
      </c>
      <c r="K28" s="258">
        <v>1.7069074675901603</v>
      </c>
      <c r="L28" s="258">
        <v>4.2451835552195698</v>
      </c>
      <c r="M28" s="331">
        <v>-10.650763438730539</v>
      </c>
      <c r="N28" s="334">
        <v>3.7566972486787309</v>
      </c>
      <c r="O28" s="258">
        <v>-4.7517556386616304</v>
      </c>
      <c r="P28" s="258">
        <v>0.9397488040381361</v>
      </c>
      <c r="Q28" s="331">
        <v>-5.8329022869939298</v>
      </c>
      <c r="R28" s="313">
        <v>6.2550114745028598</v>
      </c>
      <c r="S28" s="259"/>
    </row>
    <row r="29" spans="1:46" s="254" customFormat="1" ht="15" customHeight="1" x14ac:dyDescent="0.25">
      <c r="A29" s="338" t="s">
        <v>195</v>
      </c>
      <c r="B29" s="260">
        <v>1.6345483246715502</v>
      </c>
      <c r="C29" s="260">
        <v>2.1307311659784007</v>
      </c>
      <c r="D29" s="260">
        <v>-0.59405596850611975</v>
      </c>
      <c r="E29" s="332">
        <v>-0.69757957067714926</v>
      </c>
      <c r="F29" s="335">
        <v>0.73500131701075011</v>
      </c>
      <c r="G29" s="260">
        <v>0.77460017934249015</v>
      </c>
      <c r="H29" s="260">
        <v>0.39681663593927702</v>
      </c>
      <c r="I29" s="332">
        <v>0.71790967952414486</v>
      </c>
      <c r="J29" s="335">
        <v>3.5078679980895195</v>
      </c>
      <c r="K29" s="260">
        <v>1.8006961401631094</v>
      </c>
      <c r="L29" s="260">
        <v>0.73062699149941945</v>
      </c>
      <c r="M29" s="332">
        <v>-3.2265528273427293</v>
      </c>
      <c r="N29" s="335">
        <v>0.93383380455925602</v>
      </c>
      <c r="O29" s="260">
        <v>-1.7368145527897703</v>
      </c>
      <c r="P29" s="260">
        <v>0.10591985830390616</v>
      </c>
      <c r="Q29" s="332">
        <v>-0.95858871920253996</v>
      </c>
      <c r="R29" s="314">
        <v>2.0820939112925396</v>
      </c>
    </row>
    <row r="30" spans="1:46" s="249" customFormat="1" x14ac:dyDescent="0.25">
      <c r="B30" s="250"/>
      <c r="C30" s="250"/>
      <c r="D30" s="250"/>
      <c r="E30" s="250"/>
      <c r="F30" s="250"/>
      <c r="G30" s="250"/>
      <c r="H30" s="250"/>
      <c r="I30" s="250"/>
      <c r="J30" s="250"/>
      <c r="K30" s="250"/>
      <c r="L30" s="250"/>
      <c r="M30" s="250"/>
      <c r="N30" s="250"/>
      <c r="O30" s="250"/>
      <c r="P30" s="250"/>
      <c r="Q30" s="250"/>
      <c r="R30" s="250"/>
    </row>
    <row r="31" spans="1:46" s="249" customFormat="1" x14ac:dyDescent="0.25"/>
    <row r="32" spans="1:46" s="249" customFormat="1" x14ac:dyDescent="0.25"/>
    <row r="33" s="249" customFormat="1" x14ac:dyDescent="0.25"/>
    <row r="34" s="249" customFormat="1" x14ac:dyDescent="0.25"/>
    <row r="35" s="249" customFormat="1" x14ac:dyDescent="0.25"/>
    <row r="36" s="249" customFormat="1" x14ac:dyDescent="0.25"/>
    <row r="37" s="249" customFormat="1" x14ac:dyDescent="0.25"/>
    <row r="38" s="249" customFormat="1" x14ac:dyDescent="0.25"/>
    <row r="39" s="249" customFormat="1" x14ac:dyDescent="0.25"/>
    <row r="40" s="249" customFormat="1" x14ac:dyDescent="0.25"/>
    <row r="41" s="249" customFormat="1" x14ac:dyDescent="0.25"/>
    <row r="42" s="249" customFormat="1" x14ac:dyDescent="0.25"/>
    <row r="43" s="249" customFormat="1" x14ac:dyDescent="0.25"/>
    <row r="44" s="249" customFormat="1" x14ac:dyDescent="0.25"/>
    <row r="45" s="249" customFormat="1" x14ac:dyDescent="0.25"/>
    <row r="46" s="249" customFormat="1" x14ac:dyDescent="0.25"/>
    <row r="47" s="249" customFormat="1" x14ac:dyDescent="0.25"/>
    <row r="48" s="249" customFormat="1" x14ac:dyDescent="0.25"/>
    <row r="49" s="249" customFormat="1" x14ac:dyDescent="0.25"/>
    <row r="50" s="249" customFormat="1" x14ac:dyDescent="0.25"/>
    <row r="51" s="249" customFormat="1" x14ac:dyDescent="0.25"/>
    <row r="52" s="249" customFormat="1" x14ac:dyDescent="0.25"/>
    <row r="53" s="249" customFormat="1" x14ac:dyDescent="0.25"/>
    <row r="54" s="249" customFormat="1" x14ac:dyDescent="0.25"/>
    <row r="55" s="249" customFormat="1" x14ac:dyDescent="0.25"/>
    <row r="56" s="249" customFormat="1" x14ac:dyDescent="0.25"/>
    <row r="57" s="249" customFormat="1" x14ac:dyDescent="0.25"/>
    <row r="58" s="249" customFormat="1" x14ac:dyDescent="0.25"/>
    <row r="59" s="249" customFormat="1" x14ac:dyDescent="0.25"/>
    <row r="60" s="249" customFormat="1" x14ac:dyDescent="0.25"/>
    <row r="61" s="249" customFormat="1" x14ac:dyDescent="0.25"/>
    <row r="62" s="249" customFormat="1" x14ac:dyDescent="0.25"/>
    <row r="63" s="249" customFormat="1" x14ac:dyDescent="0.25"/>
    <row r="64" s="249" customFormat="1" x14ac:dyDescent="0.25"/>
    <row r="65" s="249" customFormat="1" x14ac:dyDescent="0.25"/>
    <row r="66" s="249" customFormat="1" x14ac:dyDescent="0.25"/>
    <row r="67" s="249" customFormat="1" x14ac:dyDescent="0.25"/>
    <row r="68" s="249" customFormat="1" x14ac:dyDescent="0.25"/>
    <row r="69" s="249" customFormat="1" x14ac:dyDescent="0.25"/>
    <row r="70" s="249" customFormat="1" x14ac:dyDescent="0.25"/>
    <row r="71" s="249" customFormat="1" x14ac:dyDescent="0.25"/>
    <row r="72" s="249" customFormat="1" x14ac:dyDescent="0.25"/>
    <row r="73" s="249" customFormat="1" x14ac:dyDescent="0.25"/>
    <row r="74" s="249" customFormat="1" x14ac:dyDescent="0.25"/>
    <row r="75" s="249" customFormat="1" x14ac:dyDescent="0.25"/>
    <row r="76" s="249" customFormat="1" x14ac:dyDescent="0.25"/>
    <row r="77" s="249" customFormat="1" x14ac:dyDescent="0.25"/>
    <row r="78" s="249" customFormat="1" x14ac:dyDescent="0.25"/>
    <row r="79" s="249" customFormat="1" x14ac:dyDescent="0.25"/>
    <row r="80" s="249" customFormat="1" x14ac:dyDescent="0.25"/>
    <row r="81" s="249" customFormat="1" x14ac:dyDescent="0.25"/>
    <row r="82" s="249" customFormat="1" x14ac:dyDescent="0.25"/>
    <row r="83" s="249" customFormat="1" x14ac:dyDescent="0.25"/>
    <row r="84" s="249" customFormat="1" x14ac:dyDescent="0.25"/>
    <row r="85" s="249" customFormat="1" x14ac:dyDescent="0.25"/>
    <row r="86" s="249" customFormat="1" x14ac:dyDescent="0.25"/>
    <row r="87" s="249" customFormat="1" x14ac:dyDescent="0.25"/>
    <row r="88" s="249" customFormat="1" x14ac:dyDescent="0.25"/>
    <row r="89" s="249" customFormat="1" x14ac:dyDescent="0.25"/>
    <row r="90" s="249" customFormat="1" x14ac:dyDescent="0.25"/>
    <row r="91" s="249" customFormat="1" x14ac:dyDescent="0.25"/>
    <row r="92" s="249" customFormat="1" x14ac:dyDescent="0.25"/>
    <row r="93" s="249" customFormat="1" x14ac:dyDescent="0.25"/>
    <row r="94" s="249" customFormat="1" x14ac:dyDescent="0.25"/>
    <row r="95" s="249" customFormat="1" x14ac:dyDescent="0.25"/>
    <row r="96" s="249" customFormat="1" x14ac:dyDescent="0.25"/>
    <row r="97" s="249" customFormat="1" x14ac:dyDescent="0.25"/>
    <row r="98" s="249" customFormat="1" x14ac:dyDescent="0.25"/>
    <row r="99" s="249" customFormat="1" x14ac:dyDescent="0.25"/>
    <row r="100" s="249" customFormat="1" x14ac:dyDescent="0.25"/>
    <row r="101" s="249" customFormat="1" x14ac:dyDescent="0.25"/>
    <row r="102" s="249" customFormat="1" x14ac:dyDescent="0.25"/>
    <row r="103" s="249" customFormat="1" x14ac:dyDescent="0.25"/>
    <row r="104" s="249" customFormat="1" x14ac:dyDescent="0.25"/>
    <row r="105" s="249" customFormat="1" x14ac:dyDescent="0.25"/>
    <row r="106" s="249" customFormat="1" x14ac:dyDescent="0.25"/>
    <row r="107" s="249" customFormat="1" x14ac:dyDescent="0.25"/>
    <row r="108" s="249" customFormat="1" x14ac:dyDescent="0.25"/>
    <row r="109" s="249" customFormat="1" x14ac:dyDescent="0.25"/>
    <row r="110" s="249" customFormat="1" x14ac:dyDescent="0.25"/>
    <row r="111" s="249" customFormat="1" x14ac:dyDescent="0.25"/>
    <row r="112" s="249" customFormat="1" x14ac:dyDescent="0.25"/>
    <row r="113" s="249" customFormat="1" x14ac:dyDescent="0.25"/>
    <row r="114" s="249" customFormat="1" x14ac:dyDescent="0.25"/>
    <row r="115" s="249" customFormat="1" x14ac:dyDescent="0.25"/>
    <row r="116" s="249" customFormat="1" x14ac:dyDescent="0.25"/>
    <row r="117" s="249" customFormat="1" x14ac:dyDescent="0.25"/>
    <row r="118" s="249" customFormat="1" x14ac:dyDescent="0.25"/>
    <row r="119" s="249" customFormat="1" x14ac:dyDescent="0.25"/>
    <row r="120" s="249" customFormat="1" x14ac:dyDescent="0.25"/>
    <row r="121" s="249" customFormat="1" x14ac:dyDescent="0.25"/>
    <row r="122" s="249" customFormat="1" x14ac:dyDescent="0.25"/>
    <row r="123" s="249" customFormat="1" x14ac:dyDescent="0.25"/>
    <row r="124" s="249" customFormat="1" x14ac:dyDescent="0.25"/>
    <row r="125" s="249" customFormat="1" x14ac:dyDescent="0.25"/>
    <row r="126" s="249" customFormat="1" x14ac:dyDescent="0.25"/>
    <row r="127" s="249" customFormat="1" x14ac:dyDescent="0.25"/>
    <row r="128" s="249" customFormat="1" x14ac:dyDescent="0.25"/>
    <row r="129" s="249" customFormat="1" x14ac:dyDescent="0.25"/>
    <row r="130" s="249" customFormat="1" x14ac:dyDescent="0.25"/>
    <row r="131" s="249" customFormat="1" x14ac:dyDescent="0.25"/>
    <row r="132" s="249" customFormat="1" x14ac:dyDescent="0.25"/>
    <row r="133" s="249" customFormat="1" x14ac:dyDescent="0.25"/>
    <row r="134" s="249" customFormat="1" x14ac:dyDescent="0.25"/>
    <row r="135" s="249" customFormat="1" x14ac:dyDescent="0.25"/>
    <row r="136" s="249" customFormat="1" x14ac:dyDescent="0.25"/>
    <row r="137" s="249" customFormat="1" x14ac:dyDescent="0.25"/>
    <row r="138" s="249" customFormat="1" x14ac:dyDescent="0.25"/>
    <row r="139" s="249" customFormat="1" x14ac:dyDescent="0.25"/>
    <row r="140" s="249" customFormat="1" x14ac:dyDescent="0.25"/>
    <row r="141" s="249" customFormat="1" x14ac:dyDescent="0.25"/>
    <row r="142" s="249" customFormat="1" x14ac:dyDescent="0.25"/>
    <row r="143" s="249" customFormat="1" x14ac:dyDescent="0.25"/>
    <row r="144" s="249" customFormat="1" x14ac:dyDescent="0.25"/>
    <row r="145" s="249" customFormat="1" x14ac:dyDescent="0.25"/>
    <row r="146" s="249" customFormat="1" x14ac:dyDescent="0.25"/>
    <row r="147" s="249" customFormat="1" x14ac:dyDescent="0.25"/>
    <row r="148" s="249" customFormat="1" x14ac:dyDescent="0.25"/>
    <row r="149" s="249" customFormat="1" x14ac:dyDescent="0.25"/>
    <row r="150" s="249" customFormat="1" x14ac:dyDescent="0.25"/>
    <row r="151" s="249" customFormat="1" x14ac:dyDescent="0.25"/>
    <row r="152" s="249" customFormat="1" x14ac:dyDescent="0.25"/>
    <row r="153" s="249" customFormat="1" x14ac:dyDescent="0.25"/>
    <row r="154" s="249" customFormat="1" x14ac:dyDescent="0.25"/>
    <row r="155" s="249" customFormat="1" x14ac:dyDescent="0.25"/>
    <row r="156" s="249" customFormat="1" x14ac:dyDescent="0.25"/>
    <row r="157" s="249" customFormat="1" x14ac:dyDescent="0.25"/>
    <row r="158" s="249" customFormat="1" x14ac:dyDescent="0.25"/>
    <row r="159" s="249" customFormat="1" x14ac:dyDescent="0.25"/>
    <row r="160" s="249" customFormat="1" x14ac:dyDescent="0.25"/>
    <row r="161" s="249" customFormat="1" x14ac:dyDescent="0.25"/>
    <row r="162" s="249" customFormat="1" x14ac:dyDescent="0.25"/>
    <row r="163" s="249" customFormat="1" x14ac:dyDescent="0.25"/>
    <row r="164" s="249" customFormat="1" x14ac:dyDescent="0.25"/>
    <row r="165" s="249" customFormat="1" x14ac:dyDescent="0.25"/>
    <row r="166" s="249" customFormat="1" x14ac:dyDescent="0.25"/>
    <row r="167" s="249" customFormat="1" x14ac:dyDescent="0.25"/>
    <row r="168" s="249" customFormat="1" x14ac:dyDescent="0.25"/>
    <row r="169" s="249" customFormat="1" x14ac:dyDescent="0.25"/>
    <row r="170" s="249" customFormat="1" x14ac:dyDescent="0.25"/>
    <row r="171" s="249" customFormat="1" x14ac:dyDescent="0.25"/>
    <row r="172" s="249" customFormat="1" x14ac:dyDescent="0.25"/>
    <row r="173" s="249" customFormat="1" x14ac:dyDescent="0.25"/>
    <row r="174" s="249" customFormat="1" x14ac:dyDescent="0.25"/>
    <row r="175" s="249" customFormat="1" x14ac:dyDescent="0.25"/>
    <row r="176" s="249" customFormat="1" x14ac:dyDescent="0.25"/>
    <row r="177" s="249" customFormat="1" x14ac:dyDescent="0.25"/>
    <row r="178" s="249" customFormat="1" x14ac:dyDescent="0.25"/>
    <row r="179" s="249" customFormat="1" x14ac:dyDescent="0.25"/>
    <row r="180" s="249" customFormat="1" x14ac:dyDescent="0.25"/>
    <row r="181" s="249" customFormat="1" x14ac:dyDescent="0.25"/>
    <row r="182" s="249" customFormat="1" x14ac:dyDescent="0.25"/>
    <row r="183" s="249" customFormat="1" x14ac:dyDescent="0.25"/>
    <row r="184" s="249" customFormat="1" x14ac:dyDescent="0.25"/>
    <row r="185" s="249" customFormat="1" x14ac:dyDescent="0.25"/>
    <row r="186" s="249" customFormat="1" x14ac:dyDescent="0.25"/>
    <row r="187" s="249" customFormat="1" x14ac:dyDescent="0.25"/>
    <row r="188" s="249" customFormat="1" x14ac:dyDescent="0.25"/>
    <row r="189" s="249" customFormat="1" x14ac:dyDescent="0.25"/>
    <row r="190" s="249" customFormat="1" x14ac:dyDescent="0.25"/>
    <row r="191" s="249" customFormat="1" x14ac:dyDescent="0.25"/>
    <row r="192" s="249" customFormat="1" x14ac:dyDescent="0.25"/>
    <row r="193" s="249" customFormat="1" x14ac:dyDescent="0.25"/>
    <row r="194" s="249" customFormat="1" x14ac:dyDescent="0.25"/>
    <row r="195" s="249" customFormat="1" x14ac:dyDescent="0.25"/>
    <row r="196" s="249" customFormat="1" x14ac:dyDescent="0.25"/>
    <row r="197" s="249" customFormat="1" x14ac:dyDescent="0.25"/>
    <row r="198" s="249" customFormat="1" x14ac:dyDescent="0.25"/>
    <row r="199" s="249" customFormat="1" x14ac:dyDescent="0.25"/>
    <row r="200" s="249" customFormat="1" x14ac:dyDescent="0.25"/>
    <row r="201" s="249" customFormat="1" x14ac:dyDescent="0.25"/>
    <row r="202" s="249" customFormat="1" x14ac:dyDescent="0.25"/>
    <row r="203" s="249" customFormat="1" x14ac:dyDescent="0.25"/>
    <row r="204" s="249" customFormat="1" x14ac:dyDescent="0.25"/>
    <row r="205" s="249" customFormat="1" x14ac:dyDescent="0.25"/>
    <row r="206" s="249" customFormat="1" x14ac:dyDescent="0.25"/>
    <row r="207" s="249" customFormat="1" x14ac:dyDescent="0.25"/>
    <row r="208" s="249" customFormat="1" x14ac:dyDescent="0.25"/>
    <row r="209" s="249" customFormat="1" x14ac:dyDescent="0.25"/>
    <row r="210" s="249" customFormat="1" x14ac:dyDescent="0.25"/>
    <row r="211" s="249" customFormat="1" x14ac:dyDescent="0.25"/>
    <row r="212" s="249" customFormat="1" x14ac:dyDescent="0.25"/>
    <row r="213" s="249" customFormat="1" x14ac:dyDescent="0.25"/>
    <row r="214" s="249" customFormat="1" x14ac:dyDescent="0.25"/>
    <row r="215" s="249" customFormat="1" x14ac:dyDescent="0.25"/>
    <row r="216" s="249" customFormat="1" x14ac:dyDescent="0.25"/>
    <row r="217" s="249" customFormat="1" x14ac:dyDescent="0.25"/>
    <row r="218" s="249" customFormat="1" x14ac:dyDescent="0.25"/>
    <row r="219" s="249" customFormat="1" x14ac:dyDescent="0.25"/>
    <row r="220" s="249" customFormat="1" x14ac:dyDescent="0.25"/>
    <row r="221" s="249" customFormat="1" x14ac:dyDescent="0.25"/>
    <row r="222" s="249" customFormat="1" x14ac:dyDescent="0.25"/>
    <row r="223" s="249" customFormat="1" x14ac:dyDescent="0.25"/>
    <row r="224" s="249" customFormat="1" x14ac:dyDescent="0.25"/>
    <row r="225" s="249" customFormat="1" x14ac:dyDescent="0.25"/>
    <row r="226" s="249" customFormat="1" x14ac:dyDescent="0.25"/>
    <row r="227" s="249" customFormat="1" x14ac:dyDescent="0.25"/>
    <row r="228" s="249" customFormat="1" x14ac:dyDescent="0.25"/>
    <row r="229" s="249" customFormat="1" x14ac:dyDescent="0.25"/>
    <row r="230" s="249" customFormat="1" x14ac:dyDescent="0.25"/>
    <row r="231" s="249" customFormat="1" x14ac:dyDescent="0.25"/>
    <row r="232" s="249" customFormat="1" x14ac:dyDescent="0.25"/>
    <row r="233" s="249" customFormat="1" x14ac:dyDescent="0.25"/>
    <row r="234" s="249" customFormat="1" x14ac:dyDescent="0.25"/>
    <row r="235" s="249" customFormat="1" x14ac:dyDescent="0.25"/>
    <row r="236" s="249" customFormat="1" x14ac:dyDescent="0.25"/>
    <row r="237" s="249" customFormat="1" x14ac:dyDescent="0.25"/>
    <row r="238" s="249" customFormat="1" x14ac:dyDescent="0.25"/>
    <row r="239" s="249" customFormat="1" x14ac:dyDescent="0.25"/>
    <row r="240" s="249" customFormat="1" x14ac:dyDescent="0.25"/>
    <row r="241" s="249" customFormat="1" x14ac:dyDescent="0.25"/>
    <row r="242" s="249" customFormat="1" x14ac:dyDescent="0.25"/>
    <row r="243" s="249" customFormat="1" x14ac:dyDescent="0.25"/>
    <row r="244" s="249" customFormat="1" x14ac:dyDescent="0.25"/>
    <row r="245" s="249" customFormat="1" x14ac:dyDescent="0.25"/>
    <row r="246" s="249" customFormat="1" x14ac:dyDescent="0.25"/>
    <row r="247" s="249" customFormat="1" x14ac:dyDescent="0.25"/>
    <row r="248" s="249" customFormat="1" x14ac:dyDescent="0.25"/>
    <row r="249" s="249" customFormat="1" x14ac:dyDescent="0.25"/>
    <row r="250" s="249" customFormat="1" x14ac:dyDescent="0.25"/>
    <row r="251" s="249" customFormat="1" x14ac:dyDescent="0.25"/>
    <row r="252" s="249" customFormat="1" x14ac:dyDescent="0.25"/>
    <row r="253" s="249" customFormat="1" x14ac:dyDescent="0.25"/>
    <row r="254" s="249" customFormat="1" x14ac:dyDescent="0.25"/>
    <row r="255" s="249" customFormat="1" x14ac:dyDescent="0.25"/>
    <row r="256" s="249" customFormat="1" x14ac:dyDescent="0.25"/>
    <row r="257" s="249" customFormat="1" x14ac:dyDescent="0.25"/>
    <row r="258" s="249" customFormat="1" x14ac:dyDescent="0.25"/>
    <row r="259" s="249" customFormat="1" x14ac:dyDescent="0.25"/>
    <row r="260" s="249" customFormat="1" x14ac:dyDescent="0.25"/>
    <row r="261" s="249" customFormat="1" x14ac:dyDescent="0.25"/>
    <row r="262" s="249" customFormat="1" x14ac:dyDescent="0.25"/>
    <row r="263" s="249" customFormat="1" x14ac:dyDescent="0.25"/>
    <row r="264" s="249" customFormat="1" x14ac:dyDescent="0.25"/>
    <row r="265" s="249" customFormat="1" x14ac:dyDescent="0.25"/>
    <row r="266" s="249" customFormat="1" x14ac:dyDescent="0.25"/>
    <row r="267" s="249" customFormat="1" x14ac:dyDescent="0.25"/>
    <row r="268" s="249" customFormat="1" x14ac:dyDescent="0.25"/>
    <row r="269" s="249" customFormat="1" x14ac:dyDescent="0.25"/>
    <row r="270" s="249" customFormat="1" x14ac:dyDescent="0.25"/>
    <row r="271" s="249" customFormat="1" x14ac:dyDescent="0.25"/>
    <row r="272" s="249" customFormat="1" x14ac:dyDescent="0.25"/>
    <row r="273" s="249" customFormat="1" x14ac:dyDescent="0.25"/>
    <row r="274" s="249" customFormat="1" x14ac:dyDescent="0.25"/>
    <row r="275" s="249" customFormat="1" x14ac:dyDescent="0.25"/>
    <row r="276" s="249" customFormat="1" x14ac:dyDescent="0.25"/>
    <row r="277" s="249" customFormat="1" x14ac:dyDescent="0.25"/>
    <row r="278" s="249" customFormat="1" x14ac:dyDescent="0.25"/>
    <row r="279" s="249" customFormat="1" x14ac:dyDescent="0.25"/>
    <row r="280" s="249" customFormat="1" x14ac:dyDescent="0.25"/>
    <row r="281" s="249" customFormat="1" x14ac:dyDescent="0.25"/>
    <row r="282" s="249" customFormat="1" x14ac:dyDescent="0.25"/>
    <row r="283" s="249" customFormat="1" x14ac:dyDescent="0.25"/>
    <row r="284" s="249" customFormat="1" x14ac:dyDescent="0.25"/>
    <row r="285" s="249" customFormat="1" x14ac:dyDescent="0.25"/>
    <row r="286" s="249" customFormat="1" x14ac:dyDescent="0.25"/>
    <row r="287" s="249" customFormat="1" x14ac:dyDescent="0.25"/>
    <row r="288" s="249" customFormat="1" x14ac:dyDescent="0.25"/>
    <row r="289" s="249" customFormat="1" x14ac:dyDescent="0.25"/>
    <row r="290" s="249" customFormat="1" x14ac:dyDescent="0.25"/>
    <row r="291" s="249" customFormat="1" x14ac:dyDescent="0.25"/>
    <row r="292" s="249" customFormat="1" x14ac:dyDescent="0.25"/>
  </sheetData>
  <mergeCells count="1">
    <mergeCell ref="C20:Q20"/>
  </mergeCells>
  <phoneticPr fontId="3" type="noConversion"/>
  <pageMargins left="0.7" right="0.7" top="0.75" bottom="0.75" header="0.3" footer="0.3"/>
  <customProperties>
    <customPr name="_pios_id" r:id="rId1"/>
  </customProperti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97850-B09B-4879-B272-82C26166E4EA}">
  <dimension ref="A2:F26"/>
  <sheetViews>
    <sheetView showGridLines="0" topLeftCell="A25" workbookViewId="0">
      <selection activeCell="V28" sqref="V28"/>
    </sheetView>
  </sheetViews>
  <sheetFormatPr defaultRowHeight="15" x14ac:dyDescent="0.25"/>
  <cols>
    <col min="1" max="1" width="16.140625" customWidth="1"/>
    <col min="2" max="2" width="33.140625" customWidth="1"/>
    <col min="3" max="3" width="11.42578125" bestFit="1" customWidth="1"/>
    <col min="4" max="5" width="10.28515625" bestFit="1" customWidth="1"/>
  </cols>
  <sheetData>
    <row r="2" spans="1:6" x14ac:dyDescent="0.25">
      <c r="B2" t="s">
        <v>123</v>
      </c>
    </row>
    <row r="4" spans="1:6" x14ac:dyDescent="0.25">
      <c r="B4" t="s">
        <v>124</v>
      </c>
    </row>
    <row r="6" spans="1:6" x14ac:dyDescent="0.25">
      <c r="A6" s="41" t="s">
        <v>125</v>
      </c>
      <c r="B6" s="41" t="s">
        <v>126</v>
      </c>
      <c r="C6" s="41" t="s">
        <v>127</v>
      </c>
      <c r="D6" s="41" t="s">
        <v>128</v>
      </c>
      <c r="F6" s="41" t="s">
        <v>129</v>
      </c>
    </row>
    <row r="7" spans="1:6" x14ac:dyDescent="0.25">
      <c r="A7" s="41">
        <v>601010</v>
      </c>
      <c r="B7" s="41" t="s">
        <v>130</v>
      </c>
      <c r="C7" s="41">
        <v>81511000</v>
      </c>
      <c r="D7" s="42">
        <v>-3257369.2999999942</v>
      </c>
      <c r="F7" t="s">
        <v>131</v>
      </c>
    </row>
    <row r="8" spans="1:6" x14ac:dyDescent="0.25">
      <c r="A8" s="41">
        <v>601050</v>
      </c>
      <c r="B8" s="41" t="s">
        <v>132</v>
      </c>
      <c r="C8" s="41">
        <v>81512000</v>
      </c>
      <c r="D8" s="43">
        <v>1553632.3</v>
      </c>
    </row>
    <row r="9" spans="1:6" x14ac:dyDescent="0.25">
      <c r="A9" s="41">
        <v>105064</v>
      </c>
      <c r="B9" s="41" t="s">
        <v>133</v>
      </c>
      <c r="C9" s="41">
        <v>18800000</v>
      </c>
      <c r="D9" s="42">
        <v>-523029.5900000023</v>
      </c>
    </row>
    <row r="10" spans="1:6" x14ac:dyDescent="0.25">
      <c r="A10" s="41">
        <v>105014</v>
      </c>
      <c r="B10" s="41" t="s">
        <v>134</v>
      </c>
      <c r="C10" s="41">
        <v>17510000</v>
      </c>
      <c r="D10" s="42">
        <v>371568.08000000025</v>
      </c>
    </row>
    <row r="11" spans="1:6" x14ac:dyDescent="0.25">
      <c r="A11" s="41">
        <v>215040</v>
      </c>
      <c r="B11" s="41" t="s">
        <v>135</v>
      </c>
      <c r="C11" s="41">
        <v>23500000</v>
      </c>
      <c r="D11" s="43">
        <v>-141474.15999999997</v>
      </c>
    </row>
    <row r="12" spans="1:6" x14ac:dyDescent="0.25">
      <c r="A12" s="41">
        <v>215108</v>
      </c>
      <c r="B12" s="41"/>
      <c r="C12" s="41">
        <v>22950000</v>
      </c>
      <c r="D12" s="44">
        <v>-2.9103830456733704E-11</v>
      </c>
    </row>
    <row r="13" spans="1:6" x14ac:dyDescent="0.25">
      <c r="A13" s="41">
        <v>101020</v>
      </c>
      <c r="B13" s="41" t="s">
        <v>136</v>
      </c>
      <c r="C13" s="41">
        <v>19110020</v>
      </c>
      <c r="D13" s="42">
        <v>3408830.8100000005</v>
      </c>
    </row>
    <row r="14" spans="1:6" x14ac:dyDescent="0.25">
      <c r="A14" s="41">
        <v>101020</v>
      </c>
      <c r="B14" s="41" t="s">
        <v>136</v>
      </c>
      <c r="C14" s="41">
        <v>19110030</v>
      </c>
      <c r="D14" s="43">
        <v>-1412158.1400000001</v>
      </c>
    </row>
    <row r="15" spans="1:6" x14ac:dyDescent="0.25">
      <c r="B15" s="41"/>
      <c r="C15" s="41"/>
      <c r="D15" s="41"/>
      <c r="E15" s="45"/>
    </row>
    <row r="17" spans="1:3" x14ac:dyDescent="0.25">
      <c r="A17" t="s">
        <v>137</v>
      </c>
    </row>
    <row r="19" spans="1:3" x14ac:dyDescent="0.25">
      <c r="A19" t="s">
        <v>103</v>
      </c>
      <c r="C19">
        <v>252.4</v>
      </c>
    </row>
    <row r="20" spans="1:3" x14ac:dyDescent="0.25">
      <c r="A20" t="s">
        <v>117</v>
      </c>
      <c r="C20">
        <v>-252.4</v>
      </c>
    </row>
    <row r="22" spans="1:3" x14ac:dyDescent="0.25">
      <c r="A22" t="s">
        <v>138</v>
      </c>
    </row>
    <row r="23" spans="1:3" x14ac:dyDescent="0.25">
      <c r="A23" t="s">
        <v>113</v>
      </c>
      <c r="C23" s="4">
        <v>864295.09004342696</v>
      </c>
    </row>
    <row r="24" spans="1:3" x14ac:dyDescent="0.25">
      <c r="A24" t="s">
        <v>114</v>
      </c>
      <c r="C24" s="4">
        <v>-914845.59277121758</v>
      </c>
    </row>
    <row r="26" spans="1:3" x14ac:dyDescent="0.25">
      <c r="A26" t="s">
        <v>115</v>
      </c>
      <c r="B26" s="3">
        <v>-7356.3739999999998</v>
      </c>
      <c r="C26" t="s">
        <v>139</v>
      </c>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B2BEBBC51CC34A8C6E29860468EC45" ma:contentTypeVersion="3" ma:contentTypeDescription="Create a new document." ma:contentTypeScope="" ma:versionID="7b748a5c1f6cce25913432b623af2a37">
  <xsd:schema xmlns:xsd="http://www.w3.org/2001/XMLSchema" xmlns:xs="http://www.w3.org/2001/XMLSchema" xmlns:p="http://schemas.microsoft.com/office/2006/metadata/properties" xmlns:ns3="d1530491-eeaa-4bf2-b9d5-91e4d0f7701b" targetNamespace="http://schemas.microsoft.com/office/2006/metadata/properties" ma:root="true" ma:fieldsID="4664648c7f1b9bb9e43f460affa0ca72" ns3:_="">
    <xsd:import namespace="d1530491-eeaa-4bf2-b9d5-91e4d0f7701b"/>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30491-eeaa-4bf2-b9d5-91e4d0f770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D799E9-9412-4FCD-98DE-7E94BE82F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30491-eeaa-4bf2-b9d5-91e4d0f770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05CD73-580A-4D61-9714-17B91D97BE7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1530491-eeaa-4bf2-b9d5-91e4d0f7701b"/>
    <ds:schemaRef ds:uri="http://www.w3.org/XML/1998/namespace"/>
    <ds:schemaRef ds:uri="http://purl.org/dc/dcmitype/"/>
  </ds:schemaRefs>
</ds:datastoreItem>
</file>

<file path=customXml/itemProps3.xml><?xml version="1.0" encoding="utf-8"?>
<ds:datastoreItem xmlns:ds="http://schemas.openxmlformats.org/officeDocument/2006/customXml" ds:itemID="{25607FD4-49F6-4FAA-9138-3EF4572FF7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Parameters</vt:lpstr>
      <vt:lpstr>Information</vt:lpstr>
      <vt:lpstr>1. Statement of income</vt:lpstr>
      <vt:lpstr>2. Financial position</vt:lpstr>
      <vt:lpstr>3. Cash Flows</vt:lpstr>
      <vt:lpstr>4. Operating segments</vt:lpstr>
      <vt:lpstr>5. IFRS 15</vt:lpstr>
      <vt:lpstr>Manual</vt:lpstr>
    </vt:vector>
  </TitlesOfParts>
  <Manager/>
  <Company>Elopak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Maria Saint Yves</dc:creator>
  <cp:keywords/>
  <dc:description/>
  <cp:lastModifiedBy>Caroline Maria Saint Yves</cp:lastModifiedBy>
  <cp:revision/>
  <dcterms:created xsi:type="dcterms:W3CDTF">2023-10-18T06:08:44Z</dcterms:created>
  <dcterms:modified xsi:type="dcterms:W3CDTF">2025-05-06T08:47:46Z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0x010100F0B2BEBBC51CC34A8C6E29860468EC45</vt:lpwstr>
  </property>
</Properties>
</file>